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enerapr1.sharepoint.com/sites/RegulatoryTeam/Shared Documents/NEPR-MI-2019-0007 - Performance Metrics/Quarterly Reports/FY2026_Q4/2026.09.22_Motion submitting workpapers of Heat Rate and Emissions in Compliance with the September 8 Resolution and Order/Exhibits/"/>
    </mc:Choice>
  </mc:AlternateContent>
  <xr:revisionPtr revIDLastSave="2" documentId="13_ncr:1_{955B2017-9197-4BC3-AF30-7A0831250B65}" xr6:coauthVersionLast="47" xr6:coauthVersionMax="47" xr10:uidLastSave="{AAB93A2F-F971-4408-950F-D6C1527B840A}"/>
  <bookViews>
    <workbookView xWindow="28680" yWindow="-120" windowWidth="29040" windowHeight="15720" tabRatio="500" xr2:uid="{00000000-000D-0000-FFFF-FFFF00000000}"/>
  </bookViews>
  <sheets>
    <sheet name="2025-Formato 2M" sheetId="1" r:id="rId1"/>
    <sheet name="Costa Sur" sheetId="2" state="hidden" r:id="rId2"/>
    <sheet name="Turbinas CS" sheetId="3" state="hidden" r:id="rId3"/>
    <sheet name="CS 5" sheetId="4" state="hidden" r:id="rId4"/>
    <sheet name="CS 6" sheetId="5" state="hidden" r:id="rId5"/>
    <sheet name="San Juan" sheetId="6" state="hidden" r:id="rId6"/>
    <sheet name="Cálculos SJ" sheetId="7" state="hidden" r:id="rId7"/>
    <sheet name="Cálculos SJ5" sheetId="8" state="hidden" r:id="rId8"/>
    <sheet name="Cálculos SJ6" sheetId="9" state="hidden" r:id="rId9"/>
    <sheet name="Aguirre" sheetId="10" state="hidden" r:id="rId10"/>
    <sheet name="Cálculos AG" sheetId="11" state="hidden" r:id="rId11"/>
    <sheet name="Palo Seco" sheetId="12" state="hidden" r:id="rId12"/>
    <sheet name="Cálculos PS" sheetId="13" state="hidden" r:id="rId13"/>
    <sheet name="MPs PS" sheetId="14" state="hidden" r:id="rId14"/>
    <sheet name="Turbinas" sheetId="15" state="hidden" r:id="rId15"/>
    <sheet name="Cálculos Cambalache (60%)" sheetId="16" state="hidden" r:id="rId16"/>
    <sheet name="CEMS Cambalache" sheetId="17" state="hidden" r:id="rId17"/>
    <sheet name="Cálculos Daguao" sheetId="18" state="hidden" r:id="rId18"/>
    <sheet name="Cálculos Yabucoa" sheetId="19" state="hidden" r:id="rId19"/>
    <sheet name="Cálculos Vega Baja" sheetId="20" state="hidden" r:id="rId20"/>
    <sheet name="Cálculos Jobos" sheetId="21" state="hidden" r:id="rId21"/>
    <sheet name="Cálculos Mayagüez" sheetId="22" state="hidden" r:id="rId22"/>
    <sheet name="Mensual 2025" sheetId="23" state="hidden" r:id="rId23"/>
    <sheet name="Tasas 2025" sheetId="24" state="hidden" r:id="rId24"/>
  </sheets>
  <definedNames>
    <definedName name="\A">#N/A</definedName>
    <definedName name="\B">#N/A</definedName>
    <definedName name="_xlnm.Print_Titles" localSheetId="0">'2025-Formato 2M'!$1:$2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114" i="24" l="1"/>
  <c r="M114" i="24"/>
  <c r="L114" i="24"/>
  <c r="K114" i="24"/>
  <c r="J114" i="24"/>
  <c r="I114" i="24"/>
  <c r="H114" i="24"/>
  <c r="G114" i="24"/>
  <c r="F114" i="24"/>
  <c r="E114" i="24"/>
  <c r="D114" i="24"/>
  <c r="C114" i="24"/>
  <c r="N113" i="24"/>
  <c r="M113" i="24"/>
  <c r="L113" i="24"/>
  <c r="K113" i="24"/>
  <c r="J113" i="24"/>
  <c r="I113" i="24"/>
  <c r="H113" i="24"/>
  <c r="G113" i="24"/>
  <c r="F113" i="24"/>
  <c r="E113" i="24"/>
  <c r="D113" i="24"/>
  <c r="C113" i="24"/>
  <c r="N112" i="24"/>
  <c r="M112" i="24"/>
  <c r="L112" i="24"/>
  <c r="K112" i="24"/>
  <c r="J112" i="24"/>
  <c r="I112" i="24"/>
  <c r="H112" i="24"/>
  <c r="G112" i="24"/>
  <c r="F112" i="24"/>
  <c r="E112" i="24"/>
  <c r="D112" i="24"/>
  <c r="C112" i="24"/>
  <c r="N111" i="24"/>
  <c r="M111" i="24"/>
  <c r="L111" i="24"/>
  <c r="K111" i="24"/>
  <c r="J111" i="24"/>
  <c r="I111" i="24"/>
  <c r="H111" i="24"/>
  <c r="G111" i="24"/>
  <c r="F111" i="24"/>
  <c r="E111" i="24"/>
  <c r="D111" i="24"/>
  <c r="C111" i="24"/>
  <c r="N110" i="24"/>
  <c r="M110" i="24"/>
  <c r="L110" i="24"/>
  <c r="K110" i="24"/>
  <c r="J110" i="24"/>
  <c r="I110" i="24"/>
  <c r="H110" i="24"/>
  <c r="G110" i="24"/>
  <c r="F110" i="24"/>
  <c r="E110" i="24"/>
  <c r="D110" i="24"/>
  <c r="C110" i="24"/>
  <c r="N108" i="24"/>
  <c r="M108" i="24"/>
  <c r="L108" i="24"/>
  <c r="K108" i="24"/>
  <c r="J108" i="24"/>
  <c r="I108" i="24"/>
  <c r="H108" i="24"/>
  <c r="G108" i="24"/>
  <c r="F108" i="24"/>
  <c r="E108" i="24"/>
  <c r="D108" i="24"/>
  <c r="C108" i="24"/>
  <c r="N107" i="24"/>
  <c r="M107" i="24"/>
  <c r="L107" i="24"/>
  <c r="K107" i="24"/>
  <c r="J107" i="24"/>
  <c r="I107" i="24"/>
  <c r="H107" i="24"/>
  <c r="G107" i="24"/>
  <c r="F107" i="24"/>
  <c r="E107" i="24"/>
  <c r="D107" i="24"/>
  <c r="C107" i="24"/>
  <c r="N106" i="24"/>
  <c r="M106" i="24"/>
  <c r="L106" i="24"/>
  <c r="K106" i="24"/>
  <c r="J106" i="24"/>
  <c r="I106" i="24"/>
  <c r="H106" i="24"/>
  <c r="G106" i="24"/>
  <c r="F106" i="24"/>
  <c r="E106" i="24"/>
  <c r="D106" i="24"/>
  <c r="C106" i="24"/>
  <c r="N105" i="24"/>
  <c r="M105" i="24"/>
  <c r="L105" i="24"/>
  <c r="K105" i="24"/>
  <c r="J105" i="24"/>
  <c r="I105" i="24"/>
  <c r="H105" i="24"/>
  <c r="G105" i="24"/>
  <c r="F105" i="24"/>
  <c r="E105" i="24"/>
  <c r="D105" i="24"/>
  <c r="C105" i="24"/>
  <c r="N104" i="24"/>
  <c r="M104" i="24"/>
  <c r="L104" i="24"/>
  <c r="K104" i="24"/>
  <c r="J104" i="24"/>
  <c r="I104" i="24"/>
  <c r="H104" i="24"/>
  <c r="G104" i="24"/>
  <c r="F104" i="24"/>
  <c r="E104" i="24"/>
  <c r="D104" i="24"/>
  <c r="C104" i="24"/>
  <c r="N103" i="24"/>
  <c r="M103" i="24"/>
  <c r="L103" i="24"/>
  <c r="K103" i="24"/>
  <c r="J103" i="24"/>
  <c r="I103" i="24"/>
  <c r="H103" i="24"/>
  <c r="G103" i="24"/>
  <c r="F103" i="24"/>
  <c r="E103" i="24"/>
  <c r="D103" i="24"/>
  <c r="C103" i="24"/>
  <c r="N102" i="24"/>
  <c r="M102" i="24"/>
  <c r="L102" i="24"/>
  <c r="K102" i="24"/>
  <c r="J102" i="24"/>
  <c r="I102" i="24"/>
  <c r="H102" i="24"/>
  <c r="G102" i="24"/>
  <c r="F102" i="24"/>
  <c r="E102" i="24"/>
  <c r="D102" i="24"/>
  <c r="C102" i="24"/>
  <c r="N101" i="24"/>
  <c r="M101" i="24"/>
  <c r="L101" i="24"/>
  <c r="K101" i="24"/>
  <c r="J101" i="24"/>
  <c r="I101" i="24"/>
  <c r="H101" i="24"/>
  <c r="G101" i="24"/>
  <c r="F101" i="24"/>
  <c r="E101" i="24"/>
  <c r="D101" i="24"/>
  <c r="C101" i="24"/>
  <c r="N100" i="24"/>
  <c r="M100" i="24"/>
  <c r="L100" i="24"/>
  <c r="K100" i="24"/>
  <c r="J100" i="24"/>
  <c r="I100" i="24"/>
  <c r="H100" i="24"/>
  <c r="G100" i="24"/>
  <c r="F100" i="24"/>
  <c r="E100" i="24"/>
  <c r="D100" i="24"/>
  <c r="C100" i="24"/>
  <c r="N99" i="24"/>
  <c r="M99" i="24"/>
  <c r="L99" i="24"/>
  <c r="K99" i="24"/>
  <c r="J99" i="24"/>
  <c r="I99" i="24"/>
  <c r="H99" i="24"/>
  <c r="G99" i="24"/>
  <c r="F99" i="24"/>
  <c r="E99" i="24"/>
  <c r="D99" i="24"/>
  <c r="C99" i="24"/>
  <c r="N98" i="24"/>
  <c r="M98" i="24"/>
  <c r="L98" i="24"/>
  <c r="K98" i="24"/>
  <c r="J98" i="24"/>
  <c r="I98" i="24"/>
  <c r="H98" i="24"/>
  <c r="G98" i="24"/>
  <c r="F98" i="24"/>
  <c r="E98" i="24"/>
  <c r="D98" i="24"/>
  <c r="C98" i="24"/>
  <c r="N97" i="24"/>
  <c r="M97" i="24"/>
  <c r="L97" i="24"/>
  <c r="K97" i="24"/>
  <c r="J97" i="24"/>
  <c r="I97" i="24"/>
  <c r="H97" i="24"/>
  <c r="G97" i="24"/>
  <c r="F97" i="24"/>
  <c r="E97" i="24"/>
  <c r="D97" i="24"/>
  <c r="C97" i="24"/>
  <c r="N96" i="24"/>
  <c r="M96" i="24"/>
  <c r="L96" i="24"/>
  <c r="K96" i="24"/>
  <c r="J96" i="24"/>
  <c r="I96" i="24"/>
  <c r="H96" i="24"/>
  <c r="G96" i="24"/>
  <c r="F96" i="24"/>
  <c r="E96" i="24"/>
  <c r="D96" i="24"/>
  <c r="C96" i="24"/>
  <c r="N95" i="24"/>
  <c r="M95" i="24"/>
  <c r="L95" i="24"/>
  <c r="K95" i="24"/>
  <c r="J95" i="24"/>
  <c r="I95" i="24"/>
  <c r="H95" i="24"/>
  <c r="G95" i="24"/>
  <c r="F95" i="24"/>
  <c r="E95" i="24"/>
  <c r="D95" i="24"/>
  <c r="C95" i="24"/>
  <c r="N94" i="24"/>
  <c r="M94" i="24"/>
  <c r="L94" i="24"/>
  <c r="K94" i="24"/>
  <c r="J94" i="24"/>
  <c r="I94" i="24"/>
  <c r="H94" i="24"/>
  <c r="G94" i="24"/>
  <c r="F94" i="24"/>
  <c r="E94" i="24"/>
  <c r="D94" i="24"/>
  <c r="C94" i="24"/>
  <c r="N93" i="24"/>
  <c r="M93" i="24"/>
  <c r="L93" i="24"/>
  <c r="K93" i="24"/>
  <c r="J93" i="24"/>
  <c r="I93" i="24"/>
  <c r="H93" i="24"/>
  <c r="G93" i="24"/>
  <c r="F93" i="24"/>
  <c r="E93" i="24"/>
  <c r="D93" i="24"/>
  <c r="C93" i="24"/>
  <c r="J87" i="24"/>
  <c r="J139" i="24" s="1"/>
  <c r="M85" i="24"/>
  <c r="M137" i="24" s="1"/>
  <c r="K84" i="24"/>
  <c r="K136" i="24" s="1"/>
  <c r="H80" i="24"/>
  <c r="H132" i="24" s="1"/>
  <c r="F74" i="24"/>
  <c r="F126" i="24" s="1"/>
  <c r="F168" i="23"/>
  <c r="H167" i="23"/>
  <c r="G167" i="23"/>
  <c r="M166" i="23"/>
  <c r="I166" i="23"/>
  <c r="C166" i="23"/>
  <c r="M163" i="23"/>
  <c r="K163" i="23"/>
  <c r="I163" i="23"/>
  <c r="N162" i="23"/>
  <c r="M162" i="23"/>
  <c r="L162" i="23"/>
  <c r="K162" i="23"/>
  <c r="J162" i="23"/>
  <c r="I162" i="23"/>
  <c r="H162" i="23"/>
  <c r="G162" i="23"/>
  <c r="G164" i="23" s="1"/>
  <c r="F162" i="23"/>
  <c r="E162" i="23"/>
  <c r="D162" i="23"/>
  <c r="C162" i="23"/>
  <c r="N161" i="23"/>
  <c r="M161" i="23"/>
  <c r="L161" i="23"/>
  <c r="K161" i="23"/>
  <c r="K168" i="23" s="1"/>
  <c r="J161" i="23"/>
  <c r="I161" i="23"/>
  <c r="H161" i="23"/>
  <c r="G161" i="23"/>
  <c r="F161" i="23"/>
  <c r="E161" i="23"/>
  <c r="D161" i="23"/>
  <c r="C161" i="23"/>
  <c r="C168" i="23" s="1"/>
  <c r="N160" i="23"/>
  <c r="M160" i="23"/>
  <c r="L160" i="23"/>
  <c r="K160" i="23"/>
  <c r="J160" i="23"/>
  <c r="I160" i="23"/>
  <c r="I164" i="23" s="1"/>
  <c r="H160" i="23"/>
  <c r="G160" i="23"/>
  <c r="F160" i="23"/>
  <c r="E160" i="23"/>
  <c r="D160" i="23"/>
  <c r="C160" i="23"/>
  <c r="N159" i="23"/>
  <c r="M159" i="23"/>
  <c r="M88" i="24" s="1"/>
  <c r="M140" i="24" s="1"/>
  <c r="L159" i="23"/>
  <c r="K159" i="23"/>
  <c r="J159" i="23"/>
  <c r="J164" i="23" s="1"/>
  <c r="I159" i="23"/>
  <c r="H159" i="23"/>
  <c r="G159" i="23"/>
  <c r="F159" i="23"/>
  <c r="E159" i="23"/>
  <c r="E166" i="23" s="1"/>
  <c r="D159" i="23"/>
  <c r="C159" i="23"/>
  <c r="N158" i="23"/>
  <c r="M158" i="23"/>
  <c r="L158" i="23"/>
  <c r="K158" i="23"/>
  <c r="K164" i="23" s="1"/>
  <c r="J158" i="23"/>
  <c r="I158" i="23"/>
  <c r="H158" i="23"/>
  <c r="G158" i="23"/>
  <c r="F158" i="23"/>
  <c r="E158" i="23"/>
  <c r="D158" i="23"/>
  <c r="C158" i="23"/>
  <c r="N157" i="23"/>
  <c r="M157" i="23"/>
  <c r="L157" i="23"/>
  <c r="K157" i="23"/>
  <c r="J157" i="23"/>
  <c r="I157" i="23"/>
  <c r="H157" i="23"/>
  <c r="G157" i="23"/>
  <c r="F157" i="23"/>
  <c r="F166" i="23" s="1"/>
  <c r="E157" i="23"/>
  <c r="E167" i="23" s="1"/>
  <c r="D157" i="23"/>
  <c r="C157" i="23"/>
  <c r="C167" i="23" s="1"/>
  <c r="N156" i="23"/>
  <c r="M156" i="23"/>
  <c r="M164" i="23" s="1"/>
  <c r="L156" i="23"/>
  <c r="K156" i="23"/>
  <c r="J156" i="23"/>
  <c r="I156" i="23"/>
  <c r="H156" i="23"/>
  <c r="G156" i="23"/>
  <c r="F156" i="23"/>
  <c r="F164" i="23" s="1"/>
  <c r="E156" i="23"/>
  <c r="E164" i="23" s="1"/>
  <c r="D156" i="23"/>
  <c r="C156" i="23"/>
  <c r="C164" i="23" s="1"/>
  <c r="N155" i="23"/>
  <c r="M155" i="23"/>
  <c r="M167" i="23" s="1"/>
  <c r="L155" i="23"/>
  <c r="K155" i="23"/>
  <c r="J155" i="23"/>
  <c r="I155" i="23"/>
  <c r="H155" i="23"/>
  <c r="G155" i="23"/>
  <c r="G88" i="24" s="1"/>
  <c r="G140" i="24" s="1"/>
  <c r="F155" i="23"/>
  <c r="E155" i="23"/>
  <c r="D155" i="23"/>
  <c r="C155" i="23"/>
  <c r="L152" i="23"/>
  <c r="J152" i="23"/>
  <c r="J151" i="23"/>
  <c r="I151" i="23"/>
  <c r="H151" i="23"/>
  <c r="C151" i="23"/>
  <c r="J150" i="23"/>
  <c r="I150" i="23"/>
  <c r="H150" i="23"/>
  <c r="G150" i="23"/>
  <c r="I149" i="23"/>
  <c r="H149" i="23"/>
  <c r="E149" i="23"/>
  <c r="C149" i="23"/>
  <c r="M148" i="23"/>
  <c r="H148" i="23"/>
  <c r="F148" i="23"/>
  <c r="E148" i="23"/>
  <c r="C147" i="23"/>
  <c r="N146" i="23"/>
  <c r="M146" i="23"/>
  <c r="L146" i="23"/>
  <c r="K146" i="23"/>
  <c r="J146" i="23"/>
  <c r="I146" i="23"/>
  <c r="H146" i="23"/>
  <c r="G146" i="23"/>
  <c r="F146" i="23"/>
  <c r="E146" i="23"/>
  <c r="D146" i="23"/>
  <c r="C146" i="23"/>
  <c r="N145" i="23"/>
  <c r="M145" i="23"/>
  <c r="L145" i="23"/>
  <c r="L147" i="23" s="1"/>
  <c r="K145" i="23"/>
  <c r="K147" i="23" s="1"/>
  <c r="J145" i="23"/>
  <c r="I145" i="23"/>
  <c r="H145" i="23"/>
  <c r="H152" i="23" s="1"/>
  <c r="G145" i="23"/>
  <c r="F145" i="23"/>
  <c r="E145" i="23"/>
  <c r="E152" i="23" s="1"/>
  <c r="D145" i="23"/>
  <c r="D152" i="23" s="1"/>
  <c r="C145" i="23"/>
  <c r="O145" i="23" s="1"/>
  <c r="O146" i="23" s="1"/>
  <c r="N144" i="23"/>
  <c r="M144" i="23"/>
  <c r="L144" i="23"/>
  <c r="L148" i="23" s="1"/>
  <c r="K144" i="23"/>
  <c r="J144" i="23"/>
  <c r="J148" i="23" s="1"/>
  <c r="I144" i="23"/>
  <c r="H144" i="23"/>
  <c r="G144" i="23"/>
  <c r="F144" i="23"/>
  <c r="E144" i="23"/>
  <c r="D144" i="23"/>
  <c r="C144" i="23"/>
  <c r="N143" i="23"/>
  <c r="M143" i="23"/>
  <c r="M149" i="23" s="1"/>
  <c r="L143" i="23"/>
  <c r="K143" i="23"/>
  <c r="J143" i="23"/>
  <c r="J147" i="23" s="1"/>
  <c r="I143" i="23"/>
  <c r="H143" i="23"/>
  <c r="H147" i="23" s="1"/>
  <c r="G143" i="23"/>
  <c r="F143" i="23"/>
  <c r="E143" i="23"/>
  <c r="E151" i="23" s="1"/>
  <c r="D143" i="23"/>
  <c r="C143" i="23"/>
  <c r="E140" i="23"/>
  <c r="D140" i="23"/>
  <c r="J139" i="23"/>
  <c r="E139" i="23"/>
  <c r="D139" i="23"/>
  <c r="J138" i="23"/>
  <c r="I138" i="23"/>
  <c r="E138" i="23"/>
  <c r="I137" i="23"/>
  <c r="K135" i="23"/>
  <c r="F135" i="23"/>
  <c r="E135" i="23"/>
  <c r="N134" i="23"/>
  <c r="M134" i="23"/>
  <c r="L134" i="23"/>
  <c r="K134" i="23"/>
  <c r="J134" i="23"/>
  <c r="J136" i="23" s="1"/>
  <c r="I134" i="23"/>
  <c r="H134" i="23"/>
  <c r="G134" i="23"/>
  <c r="F134" i="23"/>
  <c r="E134" i="23"/>
  <c r="D134" i="23"/>
  <c r="C134" i="23"/>
  <c r="N133" i="23"/>
  <c r="M133" i="23"/>
  <c r="L133" i="23"/>
  <c r="K133" i="23"/>
  <c r="J133" i="23"/>
  <c r="I133" i="23"/>
  <c r="H133" i="23"/>
  <c r="G133" i="23"/>
  <c r="F133" i="23"/>
  <c r="E133" i="23"/>
  <c r="D133" i="23"/>
  <c r="C133" i="23"/>
  <c r="N132" i="23"/>
  <c r="N136" i="23" s="1"/>
  <c r="M132" i="23"/>
  <c r="M136" i="23" s="1"/>
  <c r="L132" i="23"/>
  <c r="L136" i="23" s="1"/>
  <c r="K132" i="23"/>
  <c r="K136" i="23" s="1"/>
  <c r="J132" i="23"/>
  <c r="I132" i="23"/>
  <c r="H132" i="23"/>
  <c r="H136" i="23" s="1"/>
  <c r="G132" i="23"/>
  <c r="G136" i="23" s="1"/>
  <c r="F132" i="23"/>
  <c r="E132" i="23"/>
  <c r="D132" i="23"/>
  <c r="D136" i="23" s="1"/>
  <c r="C132" i="23"/>
  <c r="N131" i="23"/>
  <c r="M131" i="23"/>
  <c r="L131" i="23"/>
  <c r="K131" i="23"/>
  <c r="J131" i="23"/>
  <c r="I131" i="23"/>
  <c r="H131" i="23"/>
  <c r="G131" i="23"/>
  <c r="F131" i="23"/>
  <c r="E131" i="23"/>
  <c r="D131" i="23"/>
  <c r="C131" i="23"/>
  <c r="N128" i="23"/>
  <c r="I128" i="23"/>
  <c r="H128" i="23"/>
  <c r="M127" i="23"/>
  <c r="H127" i="23"/>
  <c r="N126" i="23"/>
  <c r="M126" i="23"/>
  <c r="I126" i="23"/>
  <c r="H126" i="23"/>
  <c r="N125" i="23"/>
  <c r="M125" i="23"/>
  <c r="H125" i="23"/>
  <c r="I124" i="23"/>
  <c r="N123" i="23"/>
  <c r="M123" i="23"/>
  <c r="H123" i="23"/>
  <c r="N122" i="23"/>
  <c r="N124" i="23" s="1"/>
  <c r="M122" i="23"/>
  <c r="M124" i="23" s="1"/>
  <c r="L122" i="23"/>
  <c r="K122" i="23"/>
  <c r="J122" i="23"/>
  <c r="I122" i="23"/>
  <c r="H122" i="23"/>
  <c r="H124" i="23" s="1"/>
  <c r="G122" i="23"/>
  <c r="F122" i="23"/>
  <c r="E122" i="23"/>
  <c r="D122" i="23"/>
  <c r="C122" i="23"/>
  <c r="N121" i="23"/>
  <c r="M121" i="23"/>
  <c r="L121" i="23"/>
  <c r="K121" i="23"/>
  <c r="J121" i="23"/>
  <c r="I121" i="23"/>
  <c r="H121" i="23"/>
  <c r="G121" i="23"/>
  <c r="F121" i="23"/>
  <c r="E121" i="23"/>
  <c r="D121" i="23"/>
  <c r="C121" i="23"/>
  <c r="N120" i="23"/>
  <c r="M120" i="23"/>
  <c r="L120" i="23"/>
  <c r="K120" i="23"/>
  <c r="J120" i="23"/>
  <c r="J124" i="23" s="1"/>
  <c r="I120" i="23"/>
  <c r="H120" i="23"/>
  <c r="G120" i="23"/>
  <c r="F120" i="23"/>
  <c r="E120" i="23"/>
  <c r="D120" i="23"/>
  <c r="C120" i="23"/>
  <c r="N119" i="23"/>
  <c r="N85" i="24" s="1"/>
  <c r="N137" i="24" s="1"/>
  <c r="M119" i="23"/>
  <c r="M128" i="23" s="1"/>
  <c r="L119" i="23"/>
  <c r="K119" i="23"/>
  <c r="J119" i="23"/>
  <c r="I119" i="23"/>
  <c r="H119" i="23"/>
  <c r="H85" i="24" s="1"/>
  <c r="H137" i="24" s="1"/>
  <c r="G119" i="23"/>
  <c r="F119" i="23"/>
  <c r="F85" i="24" s="1"/>
  <c r="F137" i="24" s="1"/>
  <c r="E119" i="23"/>
  <c r="D119" i="23"/>
  <c r="C119" i="23"/>
  <c r="K116" i="23"/>
  <c r="G116" i="23"/>
  <c r="E116" i="23"/>
  <c r="D116" i="23"/>
  <c r="K115" i="23"/>
  <c r="H115" i="23"/>
  <c r="D115" i="23"/>
  <c r="K114" i="23"/>
  <c r="H114" i="23"/>
  <c r="D114" i="23"/>
  <c r="G113" i="23"/>
  <c r="D113" i="23"/>
  <c r="K112" i="23"/>
  <c r="K111" i="23"/>
  <c r="D111" i="23"/>
  <c r="C111" i="23"/>
  <c r="N110" i="23"/>
  <c r="M110" i="23"/>
  <c r="L110" i="23"/>
  <c r="K110" i="23"/>
  <c r="J110" i="23"/>
  <c r="I110" i="23"/>
  <c r="H110" i="23"/>
  <c r="G110" i="23"/>
  <c r="F110" i="23"/>
  <c r="E110" i="23"/>
  <c r="D110" i="23"/>
  <c r="C110" i="23"/>
  <c r="N109" i="23"/>
  <c r="M109" i="23"/>
  <c r="L109" i="23"/>
  <c r="K109" i="23"/>
  <c r="J109" i="23"/>
  <c r="I109" i="23"/>
  <c r="H109" i="23"/>
  <c r="G109" i="23"/>
  <c r="F109" i="23"/>
  <c r="E109" i="23"/>
  <c r="D109" i="23"/>
  <c r="C109" i="23"/>
  <c r="N108" i="23"/>
  <c r="M108" i="23"/>
  <c r="M112" i="23" s="1"/>
  <c r="L108" i="23"/>
  <c r="K108" i="23"/>
  <c r="J108" i="23"/>
  <c r="I108" i="23"/>
  <c r="I112" i="23" s="1"/>
  <c r="H108" i="23"/>
  <c r="G108" i="23"/>
  <c r="F108" i="23"/>
  <c r="F112" i="23" s="1"/>
  <c r="E85" i="1" s="1"/>
  <c r="E108" i="23"/>
  <c r="D108" i="23"/>
  <c r="D112" i="23" s="1"/>
  <c r="C108" i="23"/>
  <c r="N107" i="23"/>
  <c r="M107" i="23"/>
  <c r="L107" i="23"/>
  <c r="K107" i="23"/>
  <c r="K113" i="23" s="1"/>
  <c r="J107" i="23"/>
  <c r="I107" i="23"/>
  <c r="H107" i="23"/>
  <c r="H84" i="24" s="1"/>
  <c r="H136" i="24" s="1"/>
  <c r="G107" i="23"/>
  <c r="G114" i="23" s="1"/>
  <c r="F107" i="23"/>
  <c r="E107" i="23"/>
  <c r="D107" i="23"/>
  <c r="D84" i="24" s="1"/>
  <c r="D136" i="24" s="1"/>
  <c r="C107" i="23"/>
  <c r="C112" i="23" s="1"/>
  <c r="D105" i="23"/>
  <c r="C105" i="23"/>
  <c r="I103" i="23"/>
  <c r="H103" i="23"/>
  <c r="E103" i="23"/>
  <c r="D103" i="23"/>
  <c r="K102" i="23"/>
  <c r="I102" i="23"/>
  <c r="H102" i="23"/>
  <c r="G102" i="23"/>
  <c r="F102" i="23"/>
  <c r="G101" i="23"/>
  <c r="F101" i="23"/>
  <c r="D101" i="23"/>
  <c r="G100" i="23"/>
  <c r="H99" i="23"/>
  <c r="J98" i="23"/>
  <c r="J105" i="23" s="1"/>
  <c r="F98" i="23"/>
  <c r="F105" i="23" s="1"/>
  <c r="N96" i="23"/>
  <c r="M96" i="23"/>
  <c r="L96" i="23"/>
  <c r="K96" i="23"/>
  <c r="J96" i="23"/>
  <c r="I96" i="23"/>
  <c r="H96" i="23"/>
  <c r="G96" i="23"/>
  <c r="F96" i="23"/>
  <c r="E96" i="23"/>
  <c r="D96" i="23"/>
  <c r="C96" i="23"/>
  <c r="N95" i="23"/>
  <c r="M95" i="23"/>
  <c r="L95" i="23"/>
  <c r="K95" i="23"/>
  <c r="J95" i="23"/>
  <c r="I95" i="23"/>
  <c r="I101" i="23" s="1"/>
  <c r="H95" i="23"/>
  <c r="G95" i="23"/>
  <c r="F95" i="23"/>
  <c r="E95" i="23"/>
  <c r="D95" i="23"/>
  <c r="C95" i="23"/>
  <c r="N94" i="23"/>
  <c r="M94" i="23"/>
  <c r="L94" i="23"/>
  <c r="K94" i="23"/>
  <c r="K103" i="23" s="1"/>
  <c r="J94" i="23"/>
  <c r="J103" i="23" s="1"/>
  <c r="I94" i="23"/>
  <c r="H94" i="23"/>
  <c r="G94" i="23"/>
  <c r="G103" i="23" s="1"/>
  <c r="F94" i="23"/>
  <c r="E94" i="23"/>
  <c r="D94" i="23"/>
  <c r="C94" i="23"/>
  <c r="O94" i="23" s="1"/>
  <c r="N93" i="23"/>
  <c r="M93" i="23"/>
  <c r="L93" i="23"/>
  <c r="K93" i="23"/>
  <c r="K100" i="23" s="1"/>
  <c r="J93" i="23"/>
  <c r="I93" i="23"/>
  <c r="H93" i="23"/>
  <c r="G93" i="23"/>
  <c r="G99" i="23" s="1"/>
  <c r="F93" i="23"/>
  <c r="E93" i="23"/>
  <c r="D93" i="23"/>
  <c r="D100" i="23" s="1"/>
  <c r="C93" i="23"/>
  <c r="N92" i="23"/>
  <c r="M92" i="23"/>
  <c r="L92" i="23"/>
  <c r="K92" i="23"/>
  <c r="J92" i="23"/>
  <c r="I92" i="23"/>
  <c r="H92" i="23"/>
  <c r="G92" i="23"/>
  <c r="F92" i="23"/>
  <c r="E92" i="23"/>
  <c r="D92" i="23"/>
  <c r="C92" i="23"/>
  <c r="N91" i="23"/>
  <c r="M91" i="23"/>
  <c r="L91" i="23"/>
  <c r="K91" i="23"/>
  <c r="J91" i="23"/>
  <c r="I91" i="23"/>
  <c r="I83" i="24" s="1"/>
  <c r="I135" i="24" s="1"/>
  <c r="H91" i="23"/>
  <c r="G91" i="23"/>
  <c r="F91" i="23"/>
  <c r="E91" i="23"/>
  <c r="E83" i="24" s="1"/>
  <c r="E135" i="24" s="1"/>
  <c r="D91" i="23"/>
  <c r="D83" i="24" s="1"/>
  <c r="D135" i="24" s="1"/>
  <c r="C91" i="23"/>
  <c r="D85" i="23"/>
  <c r="C19" i="1" s="1"/>
  <c r="N79" i="23"/>
  <c r="N81" i="24" s="1"/>
  <c r="N133" i="24" s="1"/>
  <c r="M79" i="23"/>
  <c r="M81" i="24" s="1"/>
  <c r="M133" i="24" s="1"/>
  <c r="L79" i="23"/>
  <c r="L81" i="24" s="1"/>
  <c r="L133" i="24" s="1"/>
  <c r="K79" i="23"/>
  <c r="J79" i="23"/>
  <c r="I79" i="23"/>
  <c r="H79" i="23"/>
  <c r="G79" i="23"/>
  <c r="G81" i="24" s="1"/>
  <c r="G133" i="24" s="1"/>
  <c r="F79" i="23"/>
  <c r="F81" i="24" s="1"/>
  <c r="F133" i="24" s="1"/>
  <c r="E79" i="23"/>
  <c r="D79" i="23"/>
  <c r="C79" i="23"/>
  <c r="L78" i="23"/>
  <c r="I78" i="23"/>
  <c r="H78" i="23"/>
  <c r="D78" i="23"/>
  <c r="N77" i="23"/>
  <c r="M77" i="23"/>
  <c r="M80" i="24" s="1"/>
  <c r="M132" i="24" s="1"/>
  <c r="L77" i="23"/>
  <c r="L80" i="24" s="1"/>
  <c r="L132" i="24" s="1"/>
  <c r="K77" i="23"/>
  <c r="J77" i="23"/>
  <c r="J80" i="24" s="1"/>
  <c r="J132" i="24" s="1"/>
  <c r="I77" i="23"/>
  <c r="I80" i="24" s="1"/>
  <c r="I132" i="24" s="1"/>
  <c r="H77" i="23"/>
  <c r="G77" i="23"/>
  <c r="F77" i="23"/>
  <c r="E77" i="23"/>
  <c r="D77" i="23"/>
  <c r="D80" i="24" s="1"/>
  <c r="D132" i="24" s="1"/>
  <c r="C77" i="23"/>
  <c r="C80" i="24" s="1"/>
  <c r="C132" i="24" s="1"/>
  <c r="L76" i="23"/>
  <c r="K76" i="23"/>
  <c r="J76" i="23"/>
  <c r="C76" i="23"/>
  <c r="N75" i="23"/>
  <c r="N76" i="23" s="1"/>
  <c r="M75" i="23"/>
  <c r="M79" i="24" s="1"/>
  <c r="M131" i="24" s="1"/>
  <c r="L75" i="23"/>
  <c r="K75" i="23"/>
  <c r="K79" i="24" s="1"/>
  <c r="K131" i="24" s="1"/>
  <c r="J75" i="23"/>
  <c r="J79" i="24" s="1"/>
  <c r="J131" i="24" s="1"/>
  <c r="I75" i="23"/>
  <c r="H75" i="23"/>
  <c r="G75" i="23"/>
  <c r="F75" i="23"/>
  <c r="E75" i="23"/>
  <c r="D75" i="23"/>
  <c r="C75" i="23"/>
  <c r="L66" i="23"/>
  <c r="J66" i="23"/>
  <c r="F66" i="23"/>
  <c r="D66" i="23"/>
  <c r="N65" i="23"/>
  <c r="M65" i="23"/>
  <c r="L65" i="23"/>
  <c r="L78" i="24" s="1"/>
  <c r="L130" i="24" s="1"/>
  <c r="K65" i="23"/>
  <c r="K78" i="24" s="1"/>
  <c r="K130" i="24" s="1"/>
  <c r="J65" i="23"/>
  <c r="J78" i="24" s="1"/>
  <c r="J130" i="24" s="1"/>
  <c r="I65" i="23"/>
  <c r="I78" i="24" s="1"/>
  <c r="I130" i="24" s="1"/>
  <c r="H65" i="23"/>
  <c r="G65" i="23"/>
  <c r="F65" i="23"/>
  <c r="F78" i="24" s="1"/>
  <c r="F130" i="24" s="1"/>
  <c r="E65" i="23"/>
  <c r="E78" i="24" s="1"/>
  <c r="E130" i="24" s="1"/>
  <c r="D65" i="23"/>
  <c r="D78" i="24" s="1"/>
  <c r="D130" i="24" s="1"/>
  <c r="C65" i="23"/>
  <c r="C78" i="24" s="1"/>
  <c r="C130" i="24" s="1"/>
  <c r="N51" i="23"/>
  <c r="M51" i="23"/>
  <c r="L51" i="23"/>
  <c r="K51" i="23"/>
  <c r="J51" i="23"/>
  <c r="I51" i="23"/>
  <c r="H51" i="23"/>
  <c r="G51" i="23"/>
  <c r="F51" i="23"/>
  <c r="E51" i="23"/>
  <c r="D51" i="23"/>
  <c r="C51" i="23"/>
  <c r="N50" i="23"/>
  <c r="N76" i="24" s="1"/>
  <c r="N128" i="24" s="1"/>
  <c r="M50" i="23"/>
  <c r="M76" i="24" s="1"/>
  <c r="M128" i="24" s="1"/>
  <c r="L50" i="23"/>
  <c r="L76" i="24" s="1"/>
  <c r="L128" i="24" s="1"/>
  <c r="K50" i="23"/>
  <c r="K76" i="24" s="1"/>
  <c r="K128" i="24" s="1"/>
  <c r="J50" i="23"/>
  <c r="J76" i="24" s="1"/>
  <c r="J128" i="24" s="1"/>
  <c r="I50" i="23"/>
  <c r="I76" i="24" s="1"/>
  <c r="I128" i="24" s="1"/>
  <c r="H50" i="23"/>
  <c r="H76" i="24" s="1"/>
  <c r="H128" i="24" s="1"/>
  <c r="G50" i="23"/>
  <c r="G76" i="24" s="1"/>
  <c r="G128" i="24" s="1"/>
  <c r="F50" i="23"/>
  <c r="F76" i="24" s="1"/>
  <c r="F128" i="24" s="1"/>
  <c r="E50" i="23"/>
  <c r="E76" i="24" s="1"/>
  <c r="E128" i="24" s="1"/>
  <c r="D50" i="23"/>
  <c r="D76" i="24" s="1"/>
  <c r="D128" i="24" s="1"/>
  <c r="C50" i="23"/>
  <c r="C76" i="24" s="1"/>
  <c r="C128" i="24" s="1"/>
  <c r="N48" i="23"/>
  <c r="M48" i="23"/>
  <c r="L48" i="23"/>
  <c r="K48" i="23"/>
  <c r="J48" i="23"/>
  <c r="I48" i="23"/>
  <c r="H48" i="23"/>
  <c r="G48" i="23"/>
  <c r="F48" i="23"/>
  <c r="E48" i="23"/>
  <c r="D48" i="23"/>
  <c r="C48" i="23"/>
  <c r="N47" i="23"/>
  <c r="N74" i="24" s="1"/>
  <c r="N126" i="24" s="1"/>
  <c r="M47" i="23"/>
  <c r="M74" i="24" s="1"/>
  <c r="M126" i="24" s="1"/>
  <c r="L47" i="23"/>
  <c r="L74" i="24" s="1"/>
  <c r="L126" i="24" s="1"/>
  <c r="K47" i="23"/>
  <c r="K74" i="24" s="1"/>
  <c r="K126" i="24" s="1"/>
  <c r="J47" i="23"/>
  <c r="J74" i="24" s="1"/>
  <c r="J126" i="24" s="1"/>
  <c r="I47" i="23"/>
  <c r="I74" i="24" s="1"/>
  <c r="I126" i="24" s="1"/>
  <c r="H47" i="23"/>
  <c r="H74" i="24" s="1"/>
  <c r="H126" i="24" s="1"/>
  <c r="G47" i="23"/>
  <c r="G74" i="24" s="1"/>
  <c r="G126" i="24" s="1"/>
  <c r="F47" i="23"/>
  <c r="E47" i="23"/>
  <c r="E74" i="24" s="1"/>
  <c r="E126" i="24" s="1"/>
  <c r="D47" i="23"/>
  <c r="D74" i="24" s="1"/>
  <c r="D126" i="24" s="1"/>
  <c r="C47" i="23"/>
  <c r="C74" i="24" s="1"/>
  <c r="C126" i="24" s="1"/>
  <c r="E46" i="23"/>
  <c r="N45" i="23"/>
  <c r="M45" i="23"/>
  <c r="L45" i="23"/>
  <c r="K45" i="23"/>
  <c r="J45" i="23"/>
  <c r="I45" i="23"/>
  <c r="H45" i="23"/>
  <c r="G45" i="23"/>
  <c r="F45" i="23"/>
  <c r="E45" i="23"/>
  <c r="D45" i="23"/>
  <c r="C45" i="23"/>
  <c r="K40" i="23"/>
  <c r="J40" i="23"/>
  <c r="F40" i="23"/>
  <c r="D40" i="23"/>
  <c r="K39" i="23"/>
  <c r="H39" i="23"/>
  <c r="D39" i="23"/>
  <c r="N38" i="23"/>
  <c r="I38" i="23"/>
  <c r="H38" i="23"/>
  <c r="F38" i="23"/>
  <c r="D38" i="23"/>
  <c r="N37" i="23"/>
  <c r="I37" i="23"/>
  <c r="H37" i="23"/>
  <c r="G37" i="23"/>
  <c r="F37" i="23"/>
  <c r="D37" i="23"/>
  <c r="G36" i="23"/>
  <c r="D36" i="23"/>
  <c r="I35" i="23"/>
  <c r="G35" i="23"/>
  <c r="F35" i="23"/>
  <c r="D35" i="23"/>
  <c r="C35" i="23"/>
  <c r="G34" i="23"/>
  <c r="D34" i="23"/>
  <c r="N33" i="23"/>
  <c r="M33" i="23"/>
  <c r="L33" i="23"/>
  <c r="K33" i="23"/>
  <c r="J33" i="23"/>
  <c r="I33" i="23"/>
  <c r="H33" i="23"/>
  <c r="H35" i="23" s="1"/>
  <c r="G33" i="23"/>
  <c r="F33" i="23"/>
  <c r="F71" i="24" s="1"/>
  <c r="F123" i="24" s="1"/>
  <c r="E33" i="23"/>
  <c r="E34" i="23" s="1"/>
  <c r="E36" i="23" s="1"/>
  <c r="D33" i="23"/>
  <c r="D71" i="24" s="1"/>
  <c r="D123" i="24" s="1"/>
  <c r="C33" i="23"/>
  <c r="C38" i="23" s="1"/>
  <c r="N21" i="23"/>
  <c r="M21" i="23"/>
  <c r="L21" i="23"/>
  <c r="K21" i="23"/>
  <c r="J21" i="23"/>
  <c r="I21" i="23"/>
  <c r="H21" i="23"/>
  <c r="G21" i="23"/>
  <c r="F21" i="23"/>
  <c r="E21" i="23"/>
  <c r="D21" i="23"/>
  <c r="C21" i="23"/>
  <c r="N20" i="23"/>
  <c r="N70" i="24" s="1"/>
  <c r="N122" i="24" s="1"/>
  <c r="M20" i="23"/>
  <c r="M70" i="24" s="1"/>
  <c r="M122" i="24" s="1"/>
  <c r="L20" i="23"/>
  <c r="L70" i="24" s="1"/>
  <c r="L122" i="24" s="1"/>
  <c r="K20" i="23"/>
  <c r="K70" i="24" s="1"/>
  <c r="K122" i="24" s="1"/>
  <c r="J20" i="23"/>
  <c r="J70" i="24" s="1"/>
  <c r="J122" i="24" s="1"/>
  <c r="I20" i="23"/>
  <c r="I70" i="24" s="1"/>
  <c r="I122" i="24" s="1"/>
  <c r="H20" i="23"/>
  <c r="H70" i="24" s="1"/>
  <c r="H122" i="24" s="1"/>
  <c r="G20" i="23"/>
  <c r="G70" i="24" s="1"/>
  <c r="G122" i="24" s="1"/>
  <c r="F20" i="23"/>
  <c r="F70" i="24" s="1"/>
  <c r="F122" i="24" s="1"/>
  <c r="E20" i="23"/>
  <c r="E70" i="24" s="1"/>
  <c r="E122" i="24" s="1"/>
  <c r="D20" i="23"/>
  <c r="D70" i="24" s="1"/>
  <c r="D122" i="24" s="1"/>
  <c r="C20" i="23"/>
  <c r="C70" i="24" s="1"/>
  <c r="C122" i="24" s="1"/>
  <c r="N18" i="23"/>
  <c r="M18" i="23"/>
  <c r="L18" i="23"/>
  <c r="K18" i="23"/>
  <c r="J18" i="23"/>
  <c r="I18" i="23"/>
  <c r="H18" i="23"/>
  <c r="G18" i="23"/>
  <c r="F18" i="23"/>
  <c r="E18" i="23"/>
  <c r="D18" i="23"/>
  <c r="C18" i="23"/>
  <c r="N17" i="23"/>
  <c r="N68" i="24" s="1"/>
  <c r="N120" i="24" s="1"/>
  <c r="M17" i="23"/>
  <c r="M68" i="24" s="1"/>
  <c r="M120" i="24" s="1"/>
  <c r="L17" i="23"/>
  <c r="L68" i="24" s="1"/>
  <c r="L120" i="24" s="1"/>
  <c r="K17" i="23"/>
  <c r="K68" i="24" s="1"/>
  <c r="K120" i="24" s="1"/>
  <c r="J17" i="23"/>
  <c r="J68" i="24" s="1"/>
  <c r="J120" i="24" s="1"/>
  <c r="I17" i="23"/>
  <c r="I68" i="24" s="1"/>
  <c r="I120" i="24" s="1"/>
  <c r="H17" i="23"/>
  <c r="H68" i="24" s="1"/>
  <c r="H120" i="24" s="1"/>
  <c r="G17" i="23"/>
  <c r="G68" i="24" s="1"/>
  <c r="G120" i="24" s="1"/>
  <c r="F17" i="23"/>
  <c r="F68" i="24" s="1"/>
  <c r="F120" i="24" s="1"/>
  <c r="E17" i="23"/>
  <c r="E68" i="24" s="1"/>
  <c r="E120" i="24" s="1"/>
  <c r="D17" i="23"/>
  <c r="D68" i="24" s="1"/>
  <c r="D120" i="24" s="1"/>
  <c r="C17" i="23"/>
  <c r="C68" i="24" s="1"/>
  <c r="C120" i="24" s="1"/>
  <c r="K16" i="23"/>
  <c r="C16" i="23"/>
  <c r="C30" i="23" s="1"/>
  <c r="L72" i="22"/>
  <c r="B72" i="22"/>
  <c r="AH63" i="22"/>
  <c r="AH55" i="22"/>
  <c r="AF58" i="22" s="1"/>
  <c r="AJ58" i="22" s="1"/>
  <c r="N42" i="22"/>
  <c r="L45" i="22" s="1"/>
  <c r="P45" i="22" s="1"/>
  <c r="B37" i="22"/>
  <c r="F37" i="22" s="1"/>
  <c r="AF34" i="22"/>
  <c r="AF37" i="22" s="1"/>
  <c r="AJ37" i="22" s="1"/>
  <c r="V34" i="22"/>
  <c r="L34" i="22"/>
  <c r="D34" i="22"/>
  <c r="B34" i="22"/>
  <c r="AH26" i="22"/>
  <c r="AF26" i="22"/>
  <c r="AF29" i="22" s="1"/>
  <c r="AJ29" i="22" s="1"/>
  <c r="B26" i="22"/>
  <c r="AJ21" i="22"/>
  <c r="AH18" i="22"/>
  <c r="AF21" i="22" s="1"/>
  <c r="N18" i="22"/>
  <c r="L21" i="22" s="1"/>
  <c r="P21" i="22" s="1"/>
  <c r="AO13" i="22"/>
  <c r="AF72" i="22" s="1"/>
  <c r="AF13" i="22"/>
  <c r="V13" i="22"/>
  <c r="V26" i="22" s="1"/>
  <c r="L13" i="22"/>
  <c r="L26" i="22" s="1"/>
  <c r="B13" i="22"/>
  <c r="L79" i="21"/>
  <c r="N59" i="21"/>
  <c r="L63" i="21" s="1"/>
  <c r="O63" i="21" s="1"/>
  <c r="B29" i="21"/>
  <c r="V14" i="21"/>
  <c r="B79" i="21" s="1"/>
  <c r="L14" i="21"/>
  <c r="L29" i="21" s="1"/>
  <c r="B14" i="21"/>
  <c r="N79" i="20"/>
  <c r="N59" i="20"/>
  <c r="L63" i="20" s="1"/>
  <c r="P63" i="20" s="1"/>
  <c r="N49" i="20"/>
  <c r="L53" i="20" s="1"/>
  <c r="P53" i="20" s="1"/>
  <c r="N39" i="20"/>
  <c r="L43" i="20" s="1"/>
  <c r="P43" i="20" s="1"/>
  <c r="N29" i="20"/>
  <c r="B29" i="20"/>
  <c r="N19" i="20"/>
  <c r="L23" i="20" s="1"/>
  <c r="P23" i="20" s="1"/>
  <c r="V14" i="20"/>
  <c r="L14" i="20"/>
  <c r="L29" i="20" s="1"/>
  <c r="L33" i="20" s="1"/>
  <c r="P33" i="20" s="1"/>
  <c r="B14" i="20"/>
  <c r="L13" i="20"/>
  <c r="N69" i="20" s="1"/>
  <c r="L73" i="20" s="1"/>
  <c r="P73" i="20" s="1"/>
  <c r="B13" i="20"/>
  <c r="O30" i="19"/>
  <c r="N27" i="19"/>
  <c r="L27" i="19"/>
  <c r="L30" i="19" s="1"/>
  <c r="B27" i="19"/>
  <c r="V14" i="19"/>
  <c r="L14" i="19"/>
  <c r="B14" i="19"/>
  <c r="L13" i="19"/>
  <c r="B28" i="18"/>
  <c r="L22" i="18"/>
  <c r="N19" i="18"/>
  <c r="V14" i="18"/>
  <c r="L14" i="18"/>
  <c r="L28" i="18" s="1"/>
  <c r="B14" i="18"/>
  <c r="B13" i="18"/>
  <c r="D37" i="18" s="1"/>
  <c r="B40" i="18" s="1"/>
  <c r="O19" i="17"/>
  <c r="N19" i="17"/>
  <c r="N20" i="17" s="1"/>
  <c r="M19" i="17"/>
  <c r="K19" i="17"/>
  <c r="K20" i="17" s="1"/>
  <c r="O18" i="17"/>
  <c r="N18" i="17"/>
  <c r="M18" i="17"/>
  <c r="L18" i="17"/>
  <c r="L19" i="17" s="1"/>
  <c r="K18" i="17"/>
  <c r="P17" i="17"/>
  <c r="D17" i="17" s="1"/>
  <c r="N98" i="23" s="1"/>
  <c r="N105" i="23" s="1"/>
  <c r="M17" i="17"/>
  <c r="C17" i="17"/>
  <c r="N97" i="23" s="1"/>
  <c r="N104" i="23" s="1"/>
  <c r="P16" i="17"/>
  <c r="M16" i="17"/>
  <c r="D16" i="17"/>
  <c r="M98" i="23" s="1"/>
  <c r="M105" i="23" s="1"/>
  <c r="C16" i="17"/>
  <c r="M97" i="23" s="1"/>
  <c r="M104" i="23" s="1"/>
  <c r="L66" i="1" s="1"/>
  <c r="P15" i="17"/>
  <c r="M15" i="17"/>
  <c r="D15" i="17"/>
  <c r="L98" i="23" s="1"/>
  <c r="L105" i="23" s="1"/>
  <c r="C15" i="17"/>
  <c r="L97" i="23" s="1"/>
  <c r="L104" i="23" s="1"/>
  <c r="K66" i="1" s="1"/>
  <c r="P14" i="17"/>
  <c r="D14" i="17" s="1"/>
  <c r="K98" i="23" s="1"/>
  <c r="K105" i="23" s="1"/>
  <c r="J68" i="1" s="1"/>
  <c r="M14" i="17"/>
  <c r="C14" i="17"/>
  <c r="K97" i="23" s="1"/>
  <c r="K104" i="23" s="1"/>
  <c r="P13" i="17"/>
  <c r="M13" i="17"/>
  <c r="D13" i="17"/>
  <c r="C13" i="17"/>
  <c r="J97" i="23" s="1"/>
  <c r="J104" i="23" s="1"/>
  <c r="P12" i="17"/>
  <c r="M12" i="17"/>
  <c r="D12" i="17"/>
  <c r="I98" i="23" s="1"/>
  <c r="I105" i="23" s="1"/>
  <c r="C12" i="17"/>
  <c r="I97" i="23" s="1"/>
  <c r="I104" i="23" s="1"/>
  <c r="P11" i="17"/>
  <c r="D11" i="17" s="1"/>
  <c r="H98" i="23" s="1"/>
  <c r="H105" i="23" s="1"/>
  <c r="M11" i="17"/>
  <c r="C11" i="17"/>
  <c r="H97" i="23" s="1"/>
  <c r="H104" i="23" s="1"/>
  <c r="P10" i="17"/>
  <c r="M10" i="17"/>
  <c r="D10" i="17"/>
  <c r="G98" i="23" s="1"/>
  <c r="G105" i="23" s="1"/>
  <c r="C10" i="17"/>
  <c r="G97" i="23" s="1"/>
  <c r="G104" i="23" s="1"/>
  <c r="F66" i="1" s="1"/>
  <c r="P9" i="17"/>
  <c r="M9" i="17"/>
  <c r="D9" i="17"/>
  <c r="C9" i="17"/>
  <c r="F97" i="23" s="1"/>
  <c r="F104" i="23" s="1"/>
  <c r="P8" i="17"/>
  <c r="D8" i="17" s="1"/>
  <c r="E98" i="23" s="1"/>
  <c r="E105" i="23" s="1"/>
  <c r="M8" i="17"/>
  <c r="C8" i="17"/>
  <c r="E97" i="23" s="1"/>
  <c r="E104" i="23" s="1"/>
  <c r="P7" i="17"/>
  <c r="M7" i="17"/>
  <c r="D7" i="17"/>
  <c r="D98" i="23" s="1"/>
  <c r="C7" i="17"/>
  <c r="D97" i="23" s="1"/>
  <c r="D104" i="23" s="1"/>
  <c r="C66" i="1" s="1"/>
  <c r="P6" i="17"/>
  <c r="M6" i="17"/>
  <c r="D6" i="17"/>
  <c r="C98" i="23" s="1"/>
  <c r="C6" i="17"/>
  <c r="C97" i="23" s="1"/>
  <c r="D62" i="16"/>
  <c r="B66" i="16" s="1"/>
  <c r="E66" i="16" s="1"/>
  <c r="H42" i="16"/>
  <c r="AD34" i="16"/>
  <c r="M15" i="16" s="1"/>
  <c r="AC34" i="16"/>
  <c r="AB34" i="16"/>
  <c r="D29" i="16"/>
  <c r="S21" i="16"/>
  <c r="AD16" i="16"/>
  <c r="M16" i="16" s="1"/>
  <c r="AC16" i="16"/>
  <c r="AB16" i="16"/>
  <c r="B16" i="16"/>
  <c r="B15" i="16"/>
  <c r="D50" i="16" s="1"/>
  <c r="B14" i="16"/>
  <c r="I37" i="15"/>
  <c r="B13" i="16" s="1"/>
  <c r="E37" i="15"/>
  <c r="AF12" i="22" s="1"/>
  <c r="AH34" i="22" s="1"/>
  <c r="D37" i="15"/>
  <c r="V12" i="22" s="1"/>
  <c r="C37" i="15"/>
  <c r="L12" i="22" s="1"/>
  <c r="L36" i="15"/>
  <c r="M14" i="16" s="1"/>
  <c r="K36" i="15"/>
  <c r="J36" i="15"/>
  <c r="J37" i="15" s="1"/>
  <c r="M13" i="16" s="1"/>
  <c r="O62" i="16" s="1"/>
  <c r="M66" i="16" s="1"/>
  <c r="P66" i="16" s="1"/>
  <c r="I36" i="15"/>
  <c r="H36" i="15"/>
  <c r="H37" i="15" s="1"/>
  <c r="E36" i="15"/>
  <c r="D36" i="15"/>
  <c r="C36" i="15"/>
  <c r="B36" i="15"/>
  <c r="B37" i="15" s="1"/>
  <c r="B12" i="22" s="1"/>
  <c r="O19" i="15"/>
  <c r="L13" i="21" s="1"/>
  <c r="N19" i="15"/>
  <c r="B13" i="21" s="1"/>
  <c r="K19" i="15"/>
  <c r="J19" i="15"/>
  <c r="B13" i="19" s="1"/>
  <c r="F19" i="15"/>
  <c r="B19" i="15"/>
  <c r="AF18" i="15"/>
  <c r="AE18" i="15"/>
  <c r="AD18" i="15"/>
  <c r="AC18" i="15"/>
  <c r="AB18" i="15"/>
  <c r="AA18" i="15"/>
  <c r="Z18" i="15"/>
  <c r="Y18" i="15"/>
  <c r="X18" i="15"/>
  <c r="W18" i="15"/>
  <c r="V18" i="15"/>
  <c r="U18" i="15"/>
  <c r="O18" i="15"/>
  <c r="N18" i="15"/>
  <c r="K18" i="15"/>
  <c r="J18" i="15"/>
  <c r="G18" i="15"/>
  <c r="G19" i="15" s="1"/>
  <c r="L13" i="18" s="1"/>
  <c r="N46" i="18" s="1"/>
  <c r="L49" i="18" s="1"/>
  <c r="F18" i="15"/>
  <c r="C18" i="15"/>
  <c r="C19" i="15" s="1"/>
  <c r="B18" i="15"/>
  <c r="H74" i="14"/>
  <c r="R68" i="14"/>
  <c r="M68" i="14"/>
  <c r="H68" i="14"/>
  <c r="H56" i="14"/>
  <c r="R50" i="14"/>
  <c r="H50" i="14"/>
  <c r="R44" i="14"/>
  <c r="H44" i="14"/>
  <c r="R38" i="14"/>
  <c r="H38" i="14"/>
  <c r="R32" i="14"/>
  <c r="H32" i="14"/>
  <c r="R26" i="14"/>
  <c r="M26" i="14"/>
  <c r="H26" i="14"/>
  <c r="I85" i="23" s="1"/>
  <c r="R20" i="14"/>
  <c r="H20" i="14"/>
  <c r="G83" i="23" s="1"/>
  <c r="B18" i="14"/>
  <c r="B17" i="14"/>
  <c r="B13" i="14"/>
  <c r="R74" i="14" s="1"/>
  <c r="C11" i="14"/>
  <c r="H62" i="14" s="1"/>
  <c r="B10" i="14"/>
  <c r="K78" i="13"/>
  <c r="V14" i="13"/>
  <c r="V13" i="13"/>
  <c r="B78" i="13" s="1"/>
  <c r="D84" i="12"/>
  <c r="B84" i="12"/>
  <c r="H83" i="12"/>
  <c r="G83" i="12"/>
  <c r="F83" i="12"/>
  <c r="I83" i="12" s="1"/>
  <c r="D83" i="12"/>
  <c r="C83" i="12"/>
  <c r="C84" i="12" s="1"/>
  <c r="B83" i="12"/>
  <c r="I82" i="12"/>
  <c r="N80" i="23" s="1"/>
  <c r="N82" i="24" s="1"/>
  <c r="N134" i="24" s="1"/>
  <c r="E82" i="12"/>
  <c r="I81" i="12"/>
  <c r="M80" i="23" s="1"/>
  <c r="M82" i="24" s="1"/>
  <c r="M134" i="24" s="1"/>
  <c r="E81" i="12"/>
  <c r="I80" i="12"/>
  <c r="L80" i="23" s="1"/>
  <c r="L82" i="24" s="1"/>
  <c r="L134" i="24" s="1"/>
  <c r="E80" i="12"/>
  <c r="I79" i="12"/>
  <c r="K80" i="23" s="1"/>
  <c r="K82" i="24" s="1"/>
  <c r="K134" i="24" s="1"/>
  <c r="E79" i="12"/>
  <c r="I78" i="12"/>
  <c r="J80" i="23" s="1"/>
  <c r="J82" i="24" s="1"/>
  <c r="J134" i="24" s="1"/>
  <c r="E78" i="12"/>
  <c r="I77" i="12"/>
  <c r="I80" i="23" s="1"/>
  <c r="I82" i="24" s="1"/>
  <c r="I134" i="24" s="1"/>
  <c r="E77" i="12"/>
  <c r="I76" i="12"/>
  <c r="H80" i="23" s="1"/>
  <c r="H82" i="24" s="1"/>
  <c r="H134" i="24" s="1"/>
  <c r="E76" i="12"/>
  <c r="I75" i="12"/>
  <c r="G80" i="23" s="1"/>
  <c r="E75" i="12"/>
  <c r="I74" i="12"/>
  <c r="F80" i="23" s="1"/>
  <c r="F82" i="24" s="1"/>
  <c r="F134" i="24" s="1"/>
  <c r="E74" i="12"/>
  <c r="I73" i="12"/>
  <c r="E80" i="23" s="1"/>
  <c r="E82" i="24" s="1"/>
  <c r="E134" i="24" s="1"/>
  <c r="E73" i="12"/>
  <c r="I72" i="12"/>
  <c r="D80" i="23" s="1"/>
  <c r="E72" i="12"/>
  <c r="I71" i="12"/>
  <c r="C80" i="23" s="1"/>
  <c r="E71" i="12"/>
  <c r="L53" i="12"/>
  <c r="K53" i="12"/>
  <c r="E53" i="12"/>
  <c r="D53" i="12"/>
  <c r="C53" i="12"/>
  <c r="B53" i="12"/>
  <c r="L52" i="12"/>
  <c r="K52" i="12"/>
  <c r="C52" i="12"/>
  <c r="B52" i="12"/>
  <c r="H54" i="12" s="1"/>
  <c r="J12" i="13" s="1"/>
  <c r="M51" i="12"/>
  <c r="K68" i="12" s="1"/>
  <c r="L51" i="12"/>
  <c r="K51" i="12"/>
  <c r="H51" i="12"/>
  <c r="J13" i="13" s="1"/>
  <c r="J28" i="13" s="1"/>
  <c r="G51" i="12"/>
  <c r="F51" i="12"/>
  <c r="E51" i="12"/>
  <c r="E52" i="12" s="1"/>
  <c r="D51" i="12"/>
  <c r="D52" i="12" s="1"/>
  <c r="C51" i="12"/>
  <c r="B51" i="12"/>
  <c r="I18" i="12"/>
  <c r="B13" i="13" s="1"/>
  <c r="H18" i="12"/>
  <c r="E18" i="12"/>
  <c r="K14" i="12" s="1"/>
  <c r="B12" i="13" s="1"/>
  <c r="C18" i="12"/>
  <c r="B18" i="12"/>
  <c r="I17" i="12"/>
  <c r="H17" i="12"/>
  <c r="E17" i="12"/>
  <c r="D17" i="12"/>
  <c r="D18" i="12" s="1"/>
  <c r="C17" i="12"/>
  <c r="B17" i="12"/>
  <c r="K80" i="11"/>
  <c r="K28" i="11"/>
  <c r="V13" i="11"/>
  <c r="K13" i="11"/>
  <c r="V12" i="11"/>
  <c r="B80" i="11" s="1"/>
  <c r="J55" i="10"/>
  <c r="K56" i="10" s="1"/>
  <c r="E53" i="10"/>
  <c r="K55" i="10" s="1"/>
  <c r="D53" i="10"/>
  <c r="C53" i="10"/>
  <c r="B53" i="10"/>
  <c r="B55" i="10" s="1"/>
  <c r="AB35" i="10"/>
  <c r="AA35" i="10"/>
  <c r="Z35" i="10"/>
  <c r="W35" i="10"/>
  <c r="V35" i="10"/>
  <c r="R35" i="10"/>
  <c r="Q35" i="10"/>
  <c r="O35" i="10"/>
  <c r="N35" i="10"/>
  <c r="M35" i="10"/>
  <c r="L35" i="10"/>
  <c r="K35" i="10"/>
  <c r="J35" i="10"/>
  <c r="I35" i="10"/>
  <c r="H35" i="10"/>
  <c r="F35" i="10"/>
  <c r="E35" i="10"/>
  <c r="D35" i="10"/>
  <c r="C35" i="10"/>
  <c r="B35" i="10"/>
  <c r="H37" i="10" s="1"/>
  <c r="AC34" i="10"/>
  <c r="X34" i="10"/>
  <c r="Y32" i="10"/>
  <c r="I17" i="10"/>
  <c r="B13" i="11" s="1"/>
  <c r="H17" i="10"/>
  <c r="C17" i="10"/>
  <c r="B17" i="10"/>
  <c r="F16" i="10"/>
  <c r="N63" i="23" s="1"/>
  <c r="E16" i="10"/>
  <c r="D16" i="10"/>
  <c r="F15" i="10"/>
  <c r="M63" i="23" s="1"/>
  <c r="M69" i="23" s="1"/>
  <c r="L35" i="1" s="1"/>
  <c r="E15" i="10"/>
  <c r="D15" i="10"/>
  <c r="E14" i="10"/>
  <c r="D14" i="10"/>
  <c r="F13" i="10"/>
  <c r="K63" i="23" s="1"/>
  <c r="K71" i="23" s="1"/>
  <c r="E13" i="10"/>
  <c r="D13" i="10"/>
  <c r="F12" i="10"/>
  <c r="J63" i="23" s="1"/>
  <c r="E12" i="10"/>
  <c r="D12" i="10"/>
  <c r="E11" i="10"/>
  <c r="D11" i="10"/>
  <c r="F11" i="10" s="1"/>
  <c r="I63" i="23" s="1"/>
  <c r="E10" i="10"/>
  <c r="D10" i="10"/>
  <c r="F10" i="10" s="1"/>
  <c r="H63" i="23" s="1"/>
  <c r="F9" i="10"/>
  <c r="G63" i="23" s="1"/>
  <c r="E9" i="10"/>
  <c r="D9" i="10"/>
  <c r="F8" i="10"/>
  <c r="F63" i="23" s="1"/>
  <c r="E8" i="10"/>
  <c r="D8" i="10"/>
  <c r="E7" i="10"/>
  <c r="D7" i="10"/>
  <c r="F7" i="10" s="1"/>
  <c r="E63" i="23" s="1"/>
  <c r="E6" i="10"/>
  <c r="E17" i="10" s="1"/>
  <c r="D6" i="10"/>
  <c r="E5" i="10"/>
  <c r="D5" i="10"/>
  <c r="F5" i="10" s="1"/>
  <c r="E74" i="9"/>
  <c r="R68" i="9"/>
  <c r="M68" i="9"/>
  <c r="H68" i="9"/>
  <c r="R62" i="9"/>
  <c r="M62" i="9"/>
  <c r="H62" i="9"/>
  <c r="R56" i="9"/>
  <c r="R50" i="9"/>
  <c r="H50" i="9"/>
  <c r="R44" i="9"/>
  <c r="H44" i="9"/>
  <c r="R38" i="9"/>
  <c r="M38" i="9"/>
  <c r="H38" i="9"/>
  <c r="R32" i="9"/>
  <c r="M32" i="9"/>
  <c r="H32" i="9"/>
  <c r="R26" i="9"/>
  <c r="H26" i="9"/>
  <c r="R20" i="9"/>
  <c r="M20" i="9"/>
  <c r="H20" i="9"/>
  <c r="W12" i="9"/>
  <c r="O74" i="9" s="1"/>
  <c r="W11" i="9"/>
  <c r="O73" i="8"/>
  <c r="E73" i="8"/>
  <c r="R67" i="8"/>
  <c r="H67" i="8"/>
  <c r="R61" i="8"/>
  <c r="H61" i="8"/>
  <c r="R55" i="8"/>
  <c r="R49" i="8"/>
  <c r="H49" i="8"/>
  <c r="R44" i="8"/>
  <c r="H44" i="8"/>
  <c r="R38" i="8"/>
  <c r="H38" i="8"/>
  <c r="R32" i="8"/>
  <c r="H32" i="8"/>
  <c r="R26" i="8"/>
  <c r="H26" i="8"/>
  <c r="R20" i="8"/>
  <c r="H20" i="8"/>
  <c r="W12" i="8"/>
  <c r="W11" i="8"/>
  <c r="B99" i="7"/>
  <c r="R14" i="7"/>
  <c r="O35" i="6"/>
  <c r="B17" i="9" s="1"/>
  <c r="M50" i="9" s="1"/>
  <c r="N35" i="6"/>
  <c r="B17" i="8" s="1"/>
  <c r="I35" i="6"/>
  <c r="H35" i="6"/>
  <c r="G35" i="6"/>
  <c r="B18" i="9" s="1"/>
  <c r="H56" i="9" s="1"/>
  <c r="F35" i="6"/>
  <c r="B18" i="8" s="1"/>
  <c r="H55" i="8" s="1"/>
  <c r="D35" i="6"/>
  <c r="B16" i="8" s="1"/>
  <c r="C35" i="6"/>
  <c r="B35" i="6"/>
  <c r="M34" i="6"/>
  <c r="E34" i="6"/>
  <c r="N49" i="23" s="1"/>
  <c r="N75" i="24" s="1"/>
  <c r="N127" i="24" s="1"/>
  <c r="D34" i="6"/>
  <c r="N46" i="23" s="1"/>
  <c r="A34" i="6"/>
  <c r="M33" i="6"/>
  <c r="E33" i="6"/>
  <c r="M49" i="23" s="1"/>
  <c r="M75" i="24" s="1"/>
  <c r="M127" i="24" s="1"/>
  <c r="D33" i="6"/>
  <c r="M46" i="23" s="1"/>
  <c r="A33" i="6"/>
  <c r="M32" i="6"/>
  <c r="E32" i="6"/>
  <c r="L49" i="23" s="1"/>
  <c r="L75" i="24" s="1"/>
  <c r="L127" i="24" s="1"/>
  <c r="D32" i="6"/>
  <c r="L46" i="23" s="1"/>
  <c r="A32" i="6"/>
  <c r="M31" i="6"/>
  <c r="E31" i="6"/>
  <c r="K49" i="23" s="1"/>
  <c r="D31" i="6"/>
  <c r="K46" i="23" s="1"/>
  <c r="K73" i="24" s="1"/>
  <c r="K125" i="24" s="1"/>
  <c r="A31" i="6"/>
  <c r="M30" i="6"/>
  <c r="E30" i="6"/>
  <c r="J49" i="23" s="1"/>
  <c r="J75" i="24" s="1"/>
  <c r="J127" i="24" s="1"/>
  <c r="D30" i="6"/>
  <c r="J46" i="23" s="1"/>
  <c r="J73" i="24" s="1"/>
  <c r="J125" i="24" s="1"/>
  <c r="A30" i="6"/>
  <c r="M29" i="6"/>
  <c r="E29" i="6"/>
  <c r="I49" i="23" s="1"/>
  <c r="I75" i="24" s="1"/>
  <c r="I127" i="24" s="1"/>
  <c r="D29" i="6"/>
  <c r="I46" i="23" s="1"/>
  <c r="A29" i="6"/>
  <c r="M28" i="6"/>
  <c r="E28" i="6"/>
  <c r="H49" i="23" s="1"/>
  <c r="H75" i="24" s="1"/>
  <c r="H127" i="24" s="1"/>
  <c r="D28" i="6"/>
  <c r="H46" i="23" s="1"/>
  <c r="A28" i="6"/>
  <c r="M27" i="6"/>
  <c r="E27" i="6"/>
  <c r="G49" i="23" s="1"/>
  <c r="G75" i="24" s="1"/>
  <c r="G127" i="24" s="1"/>
  <c r="D27" i="6"/>
  <c r="G46" i="23" s="1"/>
  <c r="A27" i="6"/>
  <c r="M26" i="6"/>
  <c r="E26" i="6"/>
  <c r="F49" i="23" s="1"/>
  <c r="F75" i="24" s="1"/>
  <c r="F127" i="24" s="1"/>
  <c r="D26" i="6"/>
  <c r="F46" i="23" s="1"/>
  <c r="A26" i="6"/>
  <c r="M25" i="6"/>
  <c r="E25" i="6"/>
  <c r="E49" i="23" s="1"/>
  <c r="E75" i="24" s="1"/>
  <c r="E127" i="24" s="1"/>
  <c r="D25" i="6"/>
  <c r="A25" i="6"/>
  <c r="M24" i="6"/>
  <c r="E24" i="6"/>
  <c r="D49" i="23" s="1"/>
  <c r="D75" i="24" s="1"/>
  <c r="D127" i="24" s="1"/>
  <c r="D24" i="6"/>
  <c r="D46" i="23" s="1"/>
  <c r="A24" i="6"/>
  <c r="M23" i="6"/>
  <c r="E23" i="6"/>
  <c r="D23" i="6"/>
  <c r="C46" i="23" s="1"/>
  <c r="A23" i="6"/>
  <c r="L17" i="6"/>
  <c r="J17" i="6"/>
  <c r="B18" i="7" s="1"/>
  <c r="B48" i="7" s="1"/>
  <c r="E17" i="6"/>
  <c r="D17" i="6"/>
  <c r="H17" i="6" s="1"/>
  <c r="C17" i="6"/>
  <c r="B17" i="6"/>
  <c r="I16" i="6"/>
  <c r="H16" i="6"/>
  <c r="G16" i="6"/>
  <c r="F16" i="6"/>
  <c r="I15" i="6"/>
  <c r="H15" i="6"/>
  <c r="G15" i="6"/>
  <c r="F15" i="6"/>
  <c r="M43" i="23" s="1"/>
  <c r="I14" i="6"/>
  <c r="H14" i="6"/>
  <c r="L44" i="23" s="1"/>
  <c r="G14" i="6"/>
  <c r="F14" i="6"/>
  <c r="L43" i="23" s="1"/>
  <c r="I13" i="6"/>
  <c r="H13" i="6"/>
  <c r="G13" i="6"/>
  <c r="F13" i="6"/>
  <c r="I12" i="6"/>
  <c r="H12" i="6"/>
  <c r="G12" i="6"/>
  <c r="F12" i="6"/>
  <c r="J43" i="23" s="1"/>
  <c r="I11" i="6"/>
  <c r="H11" i="6"/>
  <c r="I44" i="23" s="1"/>
  <c r="G11" i="6"/>
  <c r="F11" i="6"/>
  <c r="I43" i="23" s="1"/>
  <c r="I10" i="6"/>
  <c r="H10" i="6"/>
  <c r="G10" i="6"/>
  <c r="F10" i="6"/>
  <c r="I9" i="6"/>
  <c r="H9" i="6"/>
  <c r="G9" i="6"/>
  <c r="F9" i="6"/>
  <c r="G43" i="23" s="1"/>
  <c r="I8" i="6"/>
  <c r="H8" i="6"/>
  <c r="F44" i="23" s="1"/>
  <c r="G8" i="6"/>
  <c r="F8" i="6"/>
  <c r="F43" i="23" s="1"/>
  <c r="I7" i="6"/>
  <c r="H7" i="6"/>
  <c r="G7" i="6"/>
  <c r="F7" i="6"/>
  <c r="I6" i="6"/>
  <c r="H6" i="6"/>
  <c r="G6" i="6"/>
  <c r="F6" i="6"/>
  <c r="D43" i="23" s="1"/>
  <c r="I5" i="6"/>
  <c r="H5" i="6"/>
  <c r="C44" i="23" s="1"/>
  <c r="F5" i="6"/>
  <c r="C43" i="23" s="1"/>
  <c r="E74" i="5"/>
  <c r="R68" i="5"/>
  <c r="M68" i="5"/>
  <c r="H68" i="5"/>
  <c r="R62" i="5"/>
  <c r="M62" i="5"/>
  <c r="H62" i="5"/>
  <c r="R56" i="5"/>
  <c r="R50" i="5"/>
  <c r="H50" i="5"/>
  <c r="R44" i="5"/>
  <c r="H44" i="5"/>
  <c r="R38" i="5"/>
  <c r="H38" i="5"/>
  <c r="R32" i="5"/>
  <c r="H32" i="5"/>
  <c r="R26" i="5"/>
  <c r="H26" i="5"/>
  <c r="R20" i="5"/>
  <c r="M20" i="5"/>
  <c r="H20" i="5"/>
  <c r="B17" i="5"/>
  <c r="M32" i="5" s="1"/>
  <c r="W12" i="5"/>
  <c r="O74" i="5" s="1"/>
  <c r="W11" i="5"/>
  <c r="O74" i="4"/>
  <c r="R68" i="4"/>
  <c r="M68" i="4"/>
  <c r="H68" i="4"/>
  <c r="R62" i="4"/>
  <c r="M62" i="4"/>
  <c r="H62" i="4"/>
  <c r="R56" i="4"/>
  <c r="R50" i="4"/>
  <c r="M50" i="4"/>
  <c r="H50" i="4"/>
  <c r="R44" i="4"/>
  <c r="M44" i="4"/>
  <c r="H44" i="4"/>
  <c r="R38" i="4"/>
  <c r="M38" i="4"/>
  <c r="H38" i="4"/>
  <c r="R32" i="4"/>
  <c r="M32" i="4"/>
  <c r="H32" i="4"/>
  <c r="R26" i="4"/>
  <c r="M26" i="4"/>
  <c r="H26" i="4"/>
  <c r="R20" i="4"/>
  <c r="H20" i="4"/>
  <c r="B17" i="4"/>
  <c r="M74" i="4" s="1"/>
  <c r="W12" i="4"/>
  <c r="W11" i="4"/>
  <c r="E74" i="4" s="1"/>
  <c r="C73" i="3"/>
  <c r="E19" i="3"/>
  <c r="E28" i="3" s="1"/>
  <c r="C14" i="3"/>
  <c r="C28" i="3" s="1"/>
  <c r="C32" i="3" s="1"/>
  <c r="F32" i="3" s="1"/>
  <c r="C13" i="3"/>
  <c r="R12" i="3"/>
  <c r="E54" i="2"/>
  <c r="D54" i="2"/>
  <c r="C54" i="2"/>
  <c r="B54" i="2"/>
  <c r="A53" i="2"/>
  <c r="A52" i="2"/>
  <c r="A51" i="2"/>
  <c r="A50" i="2"/>
  <c r="A49" i="2"/>
  <c r="A48" i="2"/>
  <c r="A47" i="2"/>
  <c r="A46" i="2"/>
  <c r="A45" i="2"/>
  <c r="A44" i="2"/>
  <c r="A43" i="2"/>
  <c r="A42" i="2"/>
  <c r="E36" i="2"/>
  <c r="D36" i="2"/>
  <c r="C36" i="2"/>
  <c r="B36" i="2"/>
  <c r="A35" i="2"/>
  <c r="A34" i="2"/>
  <c r="A33" i="2"/>
  <c r="A32" i="2"/>
  <c r="A31" i="2"/>
  <c r="A30" i="2"/>
  <c r="A29" i="2"/>
  <c r="A28" i="2"/>
  <c r="A27" i="2"/>
  <c r="A26" i="2"/>
  <c r="A25" i="2"/>
  <c r="A24" i="2"/>
  <c r="I17" i="2"/>
  <c r="B18" i="5" s="1"/>
  <c r="H56" i="5" s="1"/>
  <c r="H17" i="2"/>
  <c r="B18" i="4" s="1"/>
  <c r="H56" i="4" s="1"/>
  <c r="G17" i="2"/>
  <c r="F17" i="2"/>
  <c r="C17" i="2"/>
  <c r="B17" i="2"/>
  <c r="E16" i="2"/>
  <c r="N19" i="23" s="1"/>
  <c r="N69" i="24" s="1"/>
  <c r="N121" i="24" s="1"/>
  <c r="D16" i="2"/>
  <c r="N16" i="23" s="1"/>
  <c r="E15" i="2"/>
  <c r="M19" i="23" s="1"/>
  <c r="M69" i="24" s="1"/>
  <c r="M121" i="24" s="1"/>
  <c r="D15" i="2"/>
  <c r="M16" i="23" s="1"/>
  <c r="E14" i="2"/>
  <c r="L19" i="23" s="1"/>
  <c r="L69" i="24" s="1"/>
  <c r="L121" i="24" s="1"/>
  <c r="D14" i="2"/>
  <c r="L16" i="23" s="1"/>
  <c r="E13" i="2"/>
  <c r="K19" i="23" s="1"/>
  <c r="K69" i="24" s="1"/>
  <c r="K121" i="24" s="1"/>
  <c r="D13" i="2"/>
  <c r="E12" i="2"/>
  <c r="J19" i="23" s="1"/>
  <c r="J69" i="24" s="1"/>
  <c r="J121" i="24" s="1"/>
  <c r="D12" i="2"/>
  <c r="J16" i="23" s="1"/>
  <c r="E11" i="2"/>
  <c r="I19" i="23" s="1"/>
  <c r="I69" i="24" s="1"/>
  <c r="I121" i="24" s="1"/>
  <c r="D11" i="2"/>
  <c r="I16" i="23" s="1"/>
  <c r="E10" i="2"/>
  <c r="H19" i="23" s="1"/>
  <c r="H69" i="24" s="1"/>
  <c r="H121" i="24" s="1"/>
  <c r="D10" i="2"/>
  <c r="H16" i="23" s="1"/>
  <c r="E9" i="2"/>
  <c r="G19" i="23" s="1"/>
  <c r="G69" i="24" s="1"/>
  <c r="G121" i="24" s="1"/>
  <c r="D9" i="2"/>
  <c r="G16" i="23" s="1"/>
  <c r="E8" i="2"/>
  <c r="F19" i="23" s="1"/>
  <c r="F69" i="24" s="1"/>
  <c r="F121" i="24" s="1"/>
  <c r="D8" i="2"/>
  <c r="F16" i="23" s="1"/>
  <c r="E7" i="2"/>
  <c r="E19" i="23" s="1"/>
  <c r="E69" i="24" s="1"/>
  <c r="E121" i="24" s="1"/>
  <c r="D7" i="2"/>
  <c r="E16" i="23" s="1"/>
  <c r="E6" i="2"/>
  <c r="D19" i="23" s="1"/>
  <c r="D69" i="24" s="1"/>
  <c r="D121" i="24" s="1"/>
  <c r="D6" i="2"/>
  <c r="D16" i="23" s="1"/>
  <c r="E5" i="2"/>
  <c r="C19" i="23" s="1"/>
  <c r="D5" i="2"/>
  <c r="O141" i="1"/>
  <c r="O140" i="1"/>
  <c r="O139" i="1"/>
  <c r="O138" i="1"/>
  <c r="O137" i="1"/>
  <c r="O136" i="1"/>
  <c r="O143" i="1" s="1"/>
  <c r="O135" i="1"/>
  <c r="N128" i="1"/>
  <c r="N125" i="1"/>
  <c r="O121" i="1"/>
  <c r="M119" i="1"/>
  <c r="L119" i="1"/>
  <c r="L121" i="1" s="1"/>
  <c r="H119" i="1"/>
  <c r="G119" i="1"/>
  <c r="L118" i="1"/>
  <c r="G118" i="1"/>
  <c r="M117" i="1"/>
  <c r="L117" i="1"/>
  <c r="H117" i="1"/>
  <c r="G117" i="1"/>
  <c r="M116" i="1"/>
  <c r="L116" i="1"/>
  <c r="G116" i="1"/>
  <c r="M115" i="1"/>
  <c r="L115" i="1"/>
  <c r="I115" i="1"/>
  <c r="H115" i="1"/>
  <c r="G115" i="1"/>
  <c r="M114" i="1"/>
  <c r="L114" i="1"/>
  <c r="G114" i="1"/>
  <c r="O111" i="1"/>
  <c r="D109" i="1"/>
  <c r="C109" i="1"/>
  <c r="I108" i="1"/>
  <c r="D108" i="1"/>
  <c r="C108" i="1"/>
  <c r="I107" i="1"/>
  <c r="H107" i="1"/>
  <c r="D107" i="1"/>
  <c r="H106" i="1"/>
  <c r="M105" i="1"/>
  <c r="L105" i="1"/>
  <c r="K105" i="1"/>
  <c r="J105" i="1"/>
  <c r="I105" i="1"/>
  <c r="G105" i="1"/>
  <c r="F105" i="1"/>
  <c r="C105" i="1"/>
  <c r="J104" i="1"/>
  <c r="E104" i="1"/>
  <c r="D104" i="1"/>
  <c r="O101" i="1"/>
  <c r="K99" i="1"/>
  <c r="I99" i="1"/>
  <c r="G99" i="1"/>
  <c r="D99" i="1"/>
  <c r="C99" i="1"/>
  <c r="I98" i="1"/>
  <c r="H98" i="1"/>
  <c r="G98" i="1"/>
  <c r="D98" i="1"/>
  <c r="B98" i="1"/>
  <c r="I97" i="1"/>
  <c r="H97" i="1"/>
  <c r="G97" i="1"/>
  <c r="F97" i="1"/>
  <c r="L96" i="1"/>
  <c r="H96" i="1"/>
  <c r="G96" i="1"/>
  <c r="D96" i="1"/>
  <c r="B96" i="1"/>
  <c r="L95" i="1"/>
  <c r="K95" i="1"/>
  <c r="I95" i="1"/>
  <c r="G95" i="1"/>
  <c r="G101" i="1" s="1"/>
  <c r="E95" i="1"/>
  <c r="D95" i="1"/>
  <c r="K94" i="1"/>
  <c r="J94" i="1"/>
  <c r="I94" i="1"/>
  <c r="G94" i="1"/>
  <c r="B94" i="1"/>
  <c r="O91" i="1"/>
  <c r="J89" i="1"/>
  <c r="F89" i="1"/>
  <c r="D89" i="1"/>
  <c r="C89" i="1"/>
  <c r="J88" i="1"/>
  <c r="G88" i="1"/>
  <c r="C88" i="1"/>
  <c r="J87" i="1"/>
  <c r="G87" i="1"/>
  <c r="F87" i="1"/>
  <c r="C87" i="1"/>
  <c r="J86" i="1"/>
  <c r="F86" i="1"/>
  <c r="C86" i="1"/>
  <c r="L85" i="1"/>
  <c r="J85" i="1"/>
  <c r="H85" i="1"/>
  <c r="C85" i="1"/>
  <c r="B85" i="1"/>
  <c r="J84" i="1"/>
  <c r="C84" i="1"/>
  <c r="B84" i="1"/>
  <c r="O81" i="1"/>
  <c r="J79" i="1"/>
  <c r="E79" i="1"/>
  <c r="B79" i="1"/>
  <c r="L78" i="1"/>
  <c r="G78" i="1"/>
  <c r="F78" i="1"/>
  <c r="D78" i="1"/>
  <c r="B78" i="1"/>
  <c r="L77" i="1"/>
  <c r="H77" i="1"/>
  <c r="E77" i="1"/>
  <c r="D77" i="1"/>
  <c r="B77" i="1"/>
  <c r="L75" i="1"/>
  <c r="J75" i="1"/>
  <c r="I75" i="1"/>
  <c r="H75" i="1"/>
  <c r="F75" i="1"/>
  <c r="E75" i="1"/>
  <c r="D75" i="1"/>
  <c r="B75" i="1"/>
  <c r="L74" i="1"/>
  <c r="J74" i="1"/>
  <c r="H74" i="1"/>
  <c r="O71" i="1"/>
  <c r="J70" i="1"/>
  <c r="I70" i="1"/>
  <c r="H70" i="1"/>
  <c r="G70" i="1"/>
  <c r="F70" i="1"/>
  <c r="D70" i="1"/>
  <c r="C70" i="1"/>
  <c r="J69" i="1"/>
  <c r="H69" i="1"/>
  <c r="G69" i="1"/>
  <c r="F69" i="1"/>
  <c r="E69" i="1"/>
  <c r="M68" i="1"/>
  <c r="L68" i="1"/>
  <c r="K68" i="1"/>
  <c r="I68" i="1"/>
  <c r="H68" i="1"/>
  <c r="G68" i="1"/>
  <c r="F68" i="1"/>
  <c r="N68" i="1" s="1"/>
  <c r="E68" i="1"/>
  <c r="D68" i="1"/>
  <c r="C68" i="1"/>
  <c r="B68" i="1"/>
  <c r="H67" i="1"/>
  <c r="F67" i="1"/>
  <c r="E67" i="1"/>
  <c r="C67" i="1"/>
  <c r="M66" i="1"/>
  <c r="J66" i="1"/>
  <c r="I66" i="1"/>
  <c r="H66" i="1"/>
  <c r="G66" i="1"/>
  <c r="E66" i="1"/>
  <c r="D66" i="1"/>
  <c r="J65" i="1"/>
  <c r="F65" i="1"/>
  <c r="C65" i="1"/>
  <c r="G64" i="1"/>
  <c r="F64" i="1"/>
  <c r="O61" i="1"/>
  <c r="O46" i="1"/>
  <c r="O47" i="1" s="1"/>
  <c r="M46" i="1"/>
  <c r="L46" i="1"/>
  <c r="K46" i="1"/>
  <c r="J46" i="1"/>
  <c r="I46" i="1"/>
  <c r="H46" i="1"/>
  <c r="G46" i="1"/>
  <c r="F46" i="1"/>
  <c r="E46" i="1"/>
  <c r="D46" i="1"/>
  <c r="C46" i="1"/>
  <c r="B46" i="1"/>
  <c r="N45" i="1"/>
  <c r="N46" i="1" s="1"/>
  <c r="N44" i="1"/>
  <c r="N43" i="1"/>
  <c r="N42" i="1"/>
  <c r="N41" i="1"/>
  <c r="O40" i="1"/>
  <c r="J37" i="1"/>
  <c r="O30" i="1"/>
  <c r="O124" i="1" s="1"/>
  <c r="O29" i="1"/>
  <c r="M29" i="1"/>
  <c r="L29" i="1"/>
  <c r="K29" i="1"/>
  <c r="J29" i="1"/>
  <c r="I29" i="1"/>
  <c r="H29" i="1"/>
  <c r="G29" i="1"/>
  <c r="F29" i="1"/>
  <c r="E29" i="1"/>
  <c r="D29" i="1"/>
  <c r="C29" i="1"/>
  <c r="B29" i="1"/>
  <c r="N28" i="1"/>
  <c r="N29" i="1" s="1"/>
  <c r="N27" i="1"/>
  <c r="N26" i="1"/>
  <c r="N25" i="1"/>
  <c r="N24" i="1"/>
  <c r="N23" i="1"/>
  <c r="O22" i="1"/>
  <c r="H19" i="1"/>
  <c r="F17" i="1"/>
  <c r="O12" i="1"/>
  <c r="B73" i="8" l="1"/>
  <c r="B61" i="8"/>
  <c r="B49" i="8"/>
  <c r="B38" i="8"/>
  <c r="B26" i="8"/>
  <c r="B29" i="8" s="1"/>
  <c r="B20" i="8"/>
  <c r="B23" i="8" s="1"/>
  <c r="B67" i="8"/>
  <c r="B70" i="8" s="1"/>
  <c r="B32" i="8"/>
  <c r="B44" i="8"/>
  <c r="B55" i="8"/>
  <c r="C49" i="23"/>
  <c r="E35" i="6"/>
  <c r="B16" i="9" s="1"/>
  <c r="K73" i="23"/>
  <c r="J39" i="1" s="1"/>
  <c r="J73" i="23"/>
  <c r="I39" i="1" s="1"/>
  <c r="I73" i="23"/>
  <c r="H39" i="1" s="1"/>
  <c r="N73" i="23"/>
  <c r="M39" i="1" s="1"/>
  <c r="H73" i="23"/>
  <c r="G39" i="1" s="1"/>
  <c r="G73" i="23"/>
  <c r="F39" i="1" s="1"/>
  <c r="F73" i="23"/>
  <c r="E39" i="1" s="1"/>
  <c r="E73" i="23"/>
  <c r="D39" i="1" s="1"/>
  <c r="M73" i="23"/>
  <c r="L39" i="1" s="1"/>
  <c r="E17" i="2"/>
  <c r="B16" i="5" s="1"/>
  <c r="N85" i="1"/>
  <c r="F71" i="1"/>
  <c r="C91" i="1"/>
  <c r="F67" i="24"/>
  <c r="F119" i="24" s="1"/>
  <c r="F30" i="23"/>
  <c r="F24" i="23"/>
  <c r="F25" i="23"/>
  <c r="F26" i="23"/>
  <c r="F27" i="23"/>
  <c r="F31" i="23"/>
  <c r="F28" i="23"/>
  <c r="F22" i="23"/>
  <c r="F23" i="23"/>
  <c r="F29" i="23"/>
  <c r="L67" i="24"/>
  <c r="L119" i="24" s="1"/>
  <c r="L24" i="23"/>
  <c r="L31" i="23"/>
  <c r="L30" i="23"/>
  <c r="L29" i="23"/>
  <c r="L28" i="23"/>
  <c r="L27" i="23"/>
  <c r="L26" i="23"/>
  <c r="L25" i="23"/>
  <c r="L23" i="23"/>
  <c r="L22" i="23"/>
  <c r="D27" i="19"/>
  <c r="B30" i="19" s="1"/>
  <c r="E30" i="19" s="1"/>
  <c r="D53" i="19"/>
  <c r="B56" i="19" s="1"/>
  <c r="E56" i="19" s="1"/>
  <c r="D61" i="19"/>
  <c r="D19" i="19"/>
  <c r="B22" i="19" s="1"/>
  <c r="E22" i="19" s="1"/>
  <c r="D45" i="19"/>
  <c r="B48" i="19" s="1"/>
  <c r="E48" i="19" s="1"/>
  <c r="D37" i="19"/>
  <c r="B40" i="19" s="1"/>
  <c r="E40" i="19" s="1"/>
  <c r="H67" i="24"/>
  <c r="H119" i="24" s="1"/>
  <c r="H28" i="23"/>
  <c r="H30" i="23"/>
  <c r="H25" i="23"/>
  <c r="H31" i="23"/>
  <c r="H26" i="23"/>
  <c r="H27" i="23"/>
  <c r="H22" i="23"/>
  <c r="H24" i="23"/>
  <c r="H29" i="23"/>
  <c r="N67" i="24"/>
  <c r="N119" i="24" s="1"/>
  <c r="N26" i="23"/>
  <c r="N27" i="23"/>
  <c r="N22" i="23"/>
  <c r="N28" i="23"/>
  <c r="N30" i="23"/>
  <c r="N23" i="23"/>
  <c r="N25" i="23"/>
  <c r="N29" i="23"/>
  <c r="N24" i="23"/>
  <c r="N31" i="23"/>
  <c r="E46" i="3"/>
  <c r="C50" i="3" s="1"/>
  <c r="F50" i="3" s="1"/>
  <c r="J77" i="24"/>
  <c r="J129" i="24" s="1"/>
  <c r="J64" i="23"/>
  <c r="J69" i="23"/>
  <c r="I35" i="1" s="1"/>
  <c r="J70" i="23"/>
  <c r="I36" i="1" s="1"/>
  <c r="J72" i="23"/>
  <c r="I38" i="1" s="1"/>
  <c r="J71" i="23"/>
  <c r="I37" i="1" s="1"/>
  <c r="D58" i="13"/>
  <c r="B62" i="13" s="1"/>
  <c r="E62" i="13" s="1"/>
  <c r="D48" i="13"/>
  <c r="B52" i="13" s="1"/>
  <c r="E52" i="13" s="1"/>
  <c r="D28" i="13"/>
  <c r="D68" i="13"/>
  <c r="D38" i="13"/>
  <c r="B42" i="13" s="1"/>
  <c r="B17" i="7"/>
  <c r="D65" i="7" s="1"/>
  <c r="B68" i="7" s="1"/>
  <c r="M67" i="8"/>
  <c r="M55" i="8"/>
  <c r="M44" i="8"/>
  <c r="M32" i="8"/>
  <c r="M20" i="8"/>
  <c r="M49" i="8"/>
  <c r="M61" i="8"/>
  <c r="M26" i="8"/>
  <c r="M73" i="8"/>
  <c r="L38" i="13"/>
  <c r="J42" i="13" s="1"/>
  <c r="M42" i="13" s="1"/>
  <c r="L18" i="13"/>
  <c r="J22" i="13" s="1"/>
  <c r="M22" i="13" s="1"/>
  <c r="L48" i="13"/>
  <c r="J52" i="13" s="1"/>
  <c r="M52" i="13" s="1"/>
  <c r="L68" i="13"/>
  <c r="L28" i="13"/>
  <c r="L58" i="13"/>
  <c r="J62" i="13" s="1"/>
  <c r="M62" i="13" s="1"/>
  <c r="K22" i="23"/>
  <c r="L71" i="24"/>
  <c r="L123" i="24" s="1"/>
  <c r="L37" i="23"/>
  <c r="L39" i="23"/>
  <c r="L38" i="23"/>
  <c r="L40" i="23"/>
  <c r="L34" i="23"/>
  <c r="L36" i="23" s="1"/>
  <c r="L35" i="23"/>
  <c r="J91" i="1"/>
  <c r="I24" i="23"/>
  <c r="H41" i="23"/>
  <c r="G41" i="23"/>
  <c r="N41" i="23"/>
  <c r="M41" i="23"/>
  <c r="L41" i="23"/>
  <c r="J41" i="23"/>
  <c r="F41" i="23"/>
  <c r="D41" i="23"/>
  <c r="C41" i="23"/>
  <c r="K41" i="23"/>
  <c r="C77" i="3"/>
  <c r="F77" i="3" s="1"/>
  <c r="I41" i="23"/>
  <c r="E41" i="23"/>
  <c r="I17" i="6"/>
  <c r="M38" i="8"/>
  <c r="F77" i="24"/>
  <c r="F129" i="24" s="1"/>
  <c r="F69" i="23"/>
  <c r="E35" i="1" s="1"/>
  <c r="F70" i="23"/>
  <c r="E36" i="1" s="1"/>
  <c r="F71" i="23"/>
  <c r="E37" i="1" s="1"/>
  <c r="F72" i="23"/>
  <c r="E38" i="1" s="1"/>
  <c r="F64" i="23"/>
  <c r="H23" i="23"/>
  <c r="D72" i="24"/>
  <c r="D124" i="24" s="1"/>
  <c r="D56" i="23"/>
  <c r="C7" i="1" s="1"/>
  <c r="D59" i="23"/>
  <c r="M56" i="23"/>
  <c r="L7" i="1" s="1"/>
  <c r="M52" i="23"/>
  <c r="L4" i="1" s="1"/>
  <c r="M53" i="23"/>
  <c r="L5" i="1" s="1"/>
  <c r="F17" i="6"/>
  <c r="B16" i="7" s="1"/>
  <c r="B28" i="11"/>
  <c r="B18" i="11"/>
  <c r="I30" i="23"/>
  <c r="D67" i="24"/>
  <c r="D119" i="24" s="1"/>
  <c r="D29" i="23"/>
  <c r="D22" i="23"/>
  <c r="D30" i="23"/>
  <c r="O30" i="23" s="1"/>
  <c r="D24" i="23"/>
  <c r="D31" i="23"/>
  <c r="D25" i="23"/>
  <c r="D26" i="23"/>
  <c r="D23" i="23"/>
  <c r="D27" i="23"/>
  <c r="D28" i="23"/>
  <c r="J67" i="24"/>
  <c r="J119" i="24" s="1"/>
  <c r="J26" i="23"/>
  <c r="J25" i="23"/>
  <c r="J24" i="23"/>
  <c r="J31" i="23"/>
  <c r="J28" i="23"/>
  <c r="J23" i="23"/>
  <c r="J30" i="23"/>
  <c r="J29" i="23"/>
  <c r="J22" i="23"/>
  <c r="J27" i="23"/>
  <c r="D17" i="2"/>
  <c r="B16" i="4" s="1"/>
  <c r="K75" i="24"/>
  <c r="K127" i="24" s="1"/>
  <c r="K54" i="23"/>
  <c r="E67" i="24"/>
  <c r="E119" i="24" s="1"/>
  <c r="E31" i="23"/>
  <c r="E29" i="23"/>
  <c r="E23" i="23"/>
  <c r="E30" i="23"/>
  <c r="E24" i="23"/>
  <c r="E26" i="23"/>
  <c r="E28" i="23"/>
  <c r="E22" i="23"/>
  <c r="E27" i="23"/>
  <c r="E25" i="23"/>
  <c r="C63" i="23"/>
  <c r="D58" i="24"/>
  <c r="C58" i="24"/>
  <c r="M58" i="24"/>
  <c r="J58" i="24"/>
  <c r="H58" i="24"/>
  <c r="G58" i="24"/>
  <c r="F58" i="24"/>
  <c r="I58" i="24"/>
  <c r="E58" i="24"/>
  <c r="N58" i="24"/>
  <c r="L58" i="24"/>
  <c r="K58" i="24"/>
  <c r="N98" i="1"/>
  <c r="H55" i="10"/>
  <c r="K12" i="11" s="1"/>
  <c r="D69" i="21"/>
  <c r="D19" i="21"/>
  <c r="B23" i="21" s="1"/>
  <c r="E23" i="21" s="1"/>
  <c r="D39" i="21"/>
  <c r="B43" i="21" s="1"/>
  <c r="E43" i="21" s="1"/>
  <c r="D59" i="21"/>
  <c r="B63" i="21" s="1"/>
  <c r="E63" i="21" s="1"/>
  <c r="D29" i="21"/>
  <c r="B33" i="21" s="1"/>
  <c r="E33" i="21" s="1"/>
  <c r="D49" i="21"/>
  <c r="B53" i="21" s="1"/>
  <c r="E53" i="21" s="1"/>
  <c r="X18" i="22"/>
  <c r="V21" i="22" s="1"/>
  <c r="Z21" i="22" s="1"/>
  <c r="X55" i="22"/>
  <c r="V58" i="22" s="1"/>
  <c r="Z58" i="22" s="1"/>
  <c r="X34" i="22"/>
  <c r="X26" i="22"/>
  <c r="V29" i="22" s="1"/>
  <c r="Z29" i="22" s="1"/>
  <c r="X63" i="22"/>
  <c r="X42" i="22"/>
  <c r="V45" i="22" s="1"/>
  <c r="Z45" i="22" s="1"/>
  <c r="E73" i="24"/>
  <c r="E125" i="24" s="1"/>
  <c r="E54" i="23"/>
  <c r="K87" i="23"/>
  <c r="J21" i="1" s="1"/>
  <c r="J87" i="23"/>
  <c r="I21" i="1" s="1"/>
  <c r="I87" i="23"/>
  <c r="H21" i="1" s="1"/>
  <c r="H87" i="23"/>
  <c r="G21" i="1" s="1"/>
  <c r="E87" i="23"/>
  <c r="D21" i="1" s="1"/>
  <c r="D87" i="23"/>
  <c r="C21" i="1" s="1"/>
  <c r="N87" i="23"/>
  <c r="M21" i="1" s="1"/>
  <c r="M87" i="23"/>
  <c r="L21" i="1" s="1"/>
  <c r="L87" i="23"/>
  <c r="K21" i="1" s="1"/>
  <c r="G87" i="23"/>
  <c r="F21" i="1" s="1"/>
  <c r="F87" i="23"/>
  <c r="E21" i="1" s="1"/>
  <c r="C87" i="23"/>
  <c r="L61" i="23"/>
  <c r="K11" i="1" s="1"/>
  <c r="I61" i="23"/>
  <c r="H11" i="1" s="1"/>
  <c r="E61" i="23"/>
  <c r="D11" i="1" s="1"/>
  <c r="F61" i="23"/>
  <c r="E11" i="1" s="1"/>
  <c r="J32" i="13"/>
  <c r="M32" i="13" s="1"/>
  <c r="G121" i="1"/>
  <c r="E77" i="24"/>
  <c r="E129" i="24" s="1"/>
  <c r="E69" i="23"/>
  <c r="D35" i="1" s="1"/>
  <c r="E72" i="23"/>
  <c r="D38" i="1" s="1"/>
  <c r="E64" i="23"/>
  <c r="E71" i="23"/>
  <c r="D37" i="1" s="1"/>
  <c r="E70" i="23"/>
  <c r="D36" i="1" s="1"/>
  <c r="D18" i="13"/>
  <c r="I77" i="24"/>
  <c r="I129" i="24" s="1"/>
  <c r="I72" i="23"/>
  <c r="H38" i="1" s="1"/>
  <c r="I69" i="23"/>
  <c r="H35" i="1" s="1"/>
  <c r="I71" i="23"/>
  <c r="H37" i="1" s="1"/>
  <c r="I64" i="23"/>
  <c r="I70" i="23"/>
  <c r="H36" i="1" s="1"/>
  <c r="M77" i="24"/>
  <c r="M129" i="24" s="1"/>
  <c r="M72" i="23"/>
  <c r="L38" i="1" s="1"/>
  <c r="M71" i="23"/>
  <c r="L37" i="1" s="1"/>
  <c r="M70" i="23"/>
  <c r="L36" i="1" s="1"/>
  <c r="M64" i="23"/>
  <c r="E55" i="3"/>
  <c r="C59" i="3" s="1"/>
  <c r="F59" i="3" s="1"/>
  <c r="C23" i="3"/>
  <c r="F23" i="3" s="1"/>
  <c r="E37" i="3"/>
  <c r="C41" i="3" s="1"/>
  <c r="F41" i="3" s="1"/>
  <c r="E73" i="3"/>
  <c r="E64" i="3"/>
  <c r="C68" i="3" s="1"/>
  <c r="F68" i="3" s="1"/>
  <c r="F72" i="24"/>
  <c r="F124" i="24" s="1"/>
  <c r="F56" i="23"/>
  <c r="E7" i="1" s="1"/>
  <c r="F60" i="23"/>
  <c r="E10" i="1" s="1"/>
  <c r="F58" i="23"/>
  <c r="E8" i="1" s="1"/>
  <c r="F52" i="23"/>
  <c r="E4" i="1" s="1"/>
  <c r="F59" i="23"/>
  <c r="F57" i="23"/>
  <c r="E9" i="1" s="1"/>
  <c r="F53" i="23"/>
  <c r="E5" i="1" s="1"/>
  <c r="I53" i="23"/>
  <c r="H5" i="1" s="1"/>
  <c r="I52" i="23"/>
  <c r="H4" i="1" s="1"/>
  <c r="I72" i="24"/>
  <c r="I124" i="24" s="1"/>
  <c r="I57" i="23"/>
  <c r="H9" i="1" s="1"/>
  <c r="I58" i="23"/>
  <c r="H8" i="1" s="1"/>
  <c r="I59" i="23"/>
  <c r="I60" i="23"/>
  <c r="H10" i="1" s="1"/>
  <c r="I56" i="23"/>
  <c r="H7" i="1" s="1"/>
  <c r="L72" i="24"/>
  <c r="L124" i="24" s="1"/>
  <c r="L58" i="23"/>
  <c r="K8" i="1" s="1"/>
  <c r="L59" i="23"/>
  <c r="L60" i="23"/>
  <c r="K10" i="1" s="1"/>
  <c r="L56" i="23"/>
  <c r="K7" i="1" s="1"/>
  <c r="L52" i="23"/>
  <c r="K4" i="1" s="1"/>
  <c r="L57" i="23"/>
  <c r="K9" i="1" s="1"/>
  <c r="L53" i="23"/>
  <c r="K5" i="1" s="1"/>
  <c r="G73" i="24"/>
  <c r="G125" i="24" s="1"/>
  <c r="G54" i="23"/>
  <c r="B53" i="16"/>
  <c r="F53" i="16" s="1"/>
  <c r="B16" i="14"/>
  <c r="D50" i="24"/>
  <c r="C50" i="24"/>
  <c r="K50" i="24"/>
  <c r="I50" i="24"/>
  <c r="F50" i="24"/>
  <c r="N50" i="24"/>
  <c r="M50" i="24"/>
  <c r="J50" i="24"/>
  <c r="H50" i="24"/>
  <c r="L50" i="24"/>
  <c r="G50" i="24"/>
  <c r="E50" i="24"/>
  <c r="L115" i="23"/>
  <c r="K88" i="1" s="1"/>
  <c r="L111" i="23"/>
  <c r="K84" i="1" s="1"/>
  <c r="L114" i="23"/>
  <c r="K87" i="1" s="1"/>
  <c r="L113" i="23"/>
  <c r="K86" i="1" s="1"/>
  <c r="L112" i="23"/>
  <c r="K85" i="1" s="1"/>
  <c r="C22" i="23"/>
  <c r="O105" i="23"/>
  <c r="M50" i="5"/>
  <c r="N88" i="23"/>
  <c r="S42" i="16"/>
  <c r="S50" i="16"/>
  <c r="D59" i="20"/>
  <c r="B63" i="20" s="1"/>
  <c r="F63" i="20" s="1"/>
  <c r="D39" i="20"/>
  <c r="B43" i="20" s="1"/>
  <c r="F43" i="20" s="1"/>
  <c r="D19" i="20"/>
  <c r="B23" i="20" s="1"/>
  <c r="F23" i="20" s="1"/>
  <c r="D69" i="20"/>
  <c r="D49" i="20"/>
  <c r="B53" i="20" s="1"/>
  <c r="F53" i="20" s="1"/>
  <c r="E80" i="24"/>
  <c r="E132" i="24" s="1"/>
  <c r="E78" i="23"/>
  <c r="C52" i="23"/>
  <c r="D73" i="24"/>
  <c r="D125" i="24" s="1"/>
  <c r="D54" i="23"/>
  <c r="M73" i="24"/>
  <c r="M125" i="24" s="1"/>
  <c r="M54" i="23"/>
  <c r="M26" i="9"/>
  <c r="M56" i="9"/>
  <c r="G82" i="24"/>
  <c r="G134" i="24" s="1"/>
  <c r="G88" i="23"/>
  <c r="M50" i="14"/>
  <c r="M62" i="14"/>
  <c r="M44" i="14"/>
  <c r="M32" i="14"/>
  <c r="M20" i="14"/>
  <c r="M56" i="14"/>
  <c r="D54" i="24"/>
  <c r="C54" i="24"/>
  <c r="G54" i="24"/>
  <c r="E54" i="24"/>
  <c r="N54" i="24"/>
  <c r="L54" i="24"/>
  <c r="K54" i="24"/>
  <c r="J54" i="24"/>
  <c r="I54" i="24"/>
  <c r="M54" i="24"/>
  <c r="H54" i="24"/>
  <c r="F54" i="24"/>
  <c r="D51" i="24"/>
  <c r="C51" i="24"/>
  <c r="M51" i="24"/>
  <c r="K51" i="24"/>
  <c r="H51" i="24"/>
  <c r="F51" i="24"/>
  <c r="E51" i="24"/>
  <c r="G51" i="24"/>
  <c r="I51" i="24"/>
  <c r="N51" i="24"/>
  <c r="L51" i="24"/>
  <c r="J51" i="24"/>
  <c r="M74" i="14"/>
  <c r="G78" i="24"/>
  <c r="G130" i="24" s="1"/>
  <c r="G66" i="23"/>
  <c r="F80" i="24"/>
  <c r="F132" i="24" s="1"/>
  <c r="F78" i="23"/>
  <c r="M38" i="5"/>
  <c r="N77" i="24"/>
  <c r="N129" i="24" s="1"/>
  <c r="N71" i="23"/>
  <c r="M37" i="1" s="1"/>
  <c r="N70" i="23"/>
  <c r="M36" i="1" s="1"/>
  <c r="N72" i="23"/>
  <c r="M38" i="1" s="1"/>
  <c r="N69" i="23"/>
  <c r="M35" i="1" s="1"/>
  <c r="N55" i="22"/>
  <c r="L58" i="22" s="1"/>
  <c r="P58" i="22" s="1"/>
  <c r="N63" i="22"/>
  <c r="N34" i="22"/>
  <c r="L37" i="22" s="1"/>
  <c r="P37" i="22" s="1"/>
  <c r="N26" i="22"/>
  <c r="L29" i="22" s="1"/>
  <c r="P29" i="22" s="1"/>
  <c r="N37" i="18"/>
  <c r="L40" i="18" s="1"/>
  <c r="G23" i="23"/>
  <c r="K69" i="23"/>
  <c r="J35" i="1" s="1"/>
  <c r="G27" i="23"/>
  <c r="M67" i="24"/>
  <c r="M119" i="24" s="1"/>
  <c r="M22" i="23"/>
  <c r="M26" i="23"/>
  <c r="M27" i="23"/>
  <c r="M28" i="23"/>
  <c r="M29" i="23"/>
  <c r="M23" i="23"/>
  <c r="M30" i="23"/>
  <c r="M24" i="23"/>
  <c r="M26" i="5"/>
  <c r="G17" i="6"/>
  <c r="M44" i="9"/>
  <c r="M74" i="9"/>
  <c r="D53" i="24"/>
  <c r="C53" i="24"/>
  <c r="E53" i="24"/>
  <c r="L53" i="24"/>
  <c r="J53" i="24"/>
  <c r="I53" i="24"/>
  <c r="H53" i="24"/>
  <c r="K53" i="24"/>
  <c r="G53" i="24"/>
  <c r="M53" i="24"/>
  <c r="F53" i="24"/>
  <c r="N53" i="24"/>
  <c r="B32" i="16"/>
  <c r="F32" i="16" s="1"/>
  <c r="C67" i="24"/>
  <c r="C119" i="24" s="1"/>
  <c r="C28" i="23"/>
  <c r="C29" i="23"/>
  <c r="C23" i="23"/>
  <c r="C31" i="23"/>
  <c r="C24" i="23"/>
  <c r="C26" i="23"/>
  <c r="O16" i="23"/>
  <c r="O18" i="23" s="1"/>
  <c r="C25" i="23"/>
  <c r="M71" i="24"/>
  <c r="M123" i="24" s="1"/>
  <c r="M40" i="23"/>
  <c r="M34" i="23"/>
  <c r="M36" i="23" s="1"/>
  <c r="M35" i="23"/>
  <c r="M37" i="23"/>
  <c r="M38" i="23"/>
  <c r="M39" i="23"/>
  <c r="N69" i="21"/>
  <c r="N49" i="21"/>
  <c r="L53" i="21" s="1"/>
  <c r="O53" i="21" s="1"/>
  <c r="N29" i="21"/>
  <c r="L33" i="21" s="1"/>
  <c r="O33" i="21" s="1"/>
  <c r="N19" i="21"/>
  <c r="L23" i="21" s="1"/>
  <c r="O23" i="21" s="1"/>
  <c r="N39" i="21"/>
  <c r="L43" i="21" s="1"/>
  <c r="O43" i="21" s="1"/>
  <c r="L71" i="19"/>
  <c r="B71" i="19"/>
  <c r="B79" i="20"/>
  <c r="L79" i="20"/>
  <c r="L83" i="20" s="1"/>
  <c r="O83" i="20" s="1"/>
  <c r="M31" i="23"/>
  <c r="F114" i="23"/>
  <c r="E87" i="1" s="1"/>
  <c r="F115" i="23"/>
  <c r="E88" i="1" s="1"/>
  <c r="F113" i="23"/>
  <c r="E86" i="1" s="1"/>
  <c r="F111" i="23"/>
  <c r="E84" i="1" s="1"/>
  <c r="F116" i="23"/>
  <c r="E89" i="1" s="1"/>
  <c r="M56" i="4"/>
  <c r="M56" i="5"/>
  <c r="D44" i="23"/>
  <c r="D58" i="23" s="1"/>
  <c r="C8" i="1" s="1"/>
  <c r="G44" i="23"/>
  <c r="G59" i="23" s="1"/>
  <c r="J44" i="23"/>
  <c r="J61" i="23" s="1"/>
  <c r="I11" i="1" s="1"/>
  <c r="M44" i="23"/>
  <c r="M72" i="24" s="1"/>
  <c r="M124" i="24" s="1"/>
  <c r="H73" i="24"/>
  <c r="H125" i="24" s="1"/>
  <c r="H54" i="23"/>
  <c r="N73" i="24"/>
  <c r="N125" i="24" s="1"/>
  <c r="N54" i="23"/>
  <c r="D17" i="10"/>
  <c r="F17" i="10" s="1"/>
  <c r="B12" i="11" s="1"/>
  <c r="B18" i="13"/>
  <c r="B22" i="13" s="1"/>
  <c r="E22" i="13" s="1"/>
  <c r="B28" i="13"/>
  <c r="R56" i="14"/>
  <c r="B11" i="14"/>
  <c r="R62" i="14" s="1"/>
  <c r="K89" i="23" s="1"/>
  <c r="M38" i="14"/>
  <c r="D26" i="22"/>
  <c r="B29" i="22" s="1"/>
  <c r="F29" i="22" s="1"/>
  <c r="D42" i="22"/>
  <c r="B45" i="22" s="1"/>
  <c r="F45" i="22" s="1"/>
  <c r="D55" i="22"/>
  <c r="B58" i="22" s="1"/>
  <c r="F58" i="22" s="1"/>
  <c r="D18" i="22"/>
  <c r="B21" i="22" s="1"/>
  <c r="F21" i="22" s="1"/>
  <c r="D63" i="22"/>
  <c r="S29" i="16"/>
  <c r="J85" i="23"/>
  <c r="I19" i="1" s="1"/>
  <c r="K77" i="24"/>
  <c r="K129" i="24" s="1"/>
  <c r="K64" i="23"/>
  <c r="K70" i="23"/>
  <c r="J36" i="1" s="1"/>
  <c r="K72" i="23"/>
  <c r="J38" i="1" s="1"/>
  <c r="N68" i="18"/>
  <c r="N28" i="18"/>
  <c r="L31" i="18" s="1"/>
  <c r="D59" i="18"/>
  <c r="B62" i="18" s="1"/>
  <c r="D46" i="18"/>
  <c r="B49" i="18" s="1"/>
  <c r="D19" i="18"/>
  <c r="B22" i="18" s="1"/>
  <c r="D68" i="18"/>
  <c r="D28" i="18"/>
  <c r="B31" i="18" s="1"/>
  <c r="N59" i="18"/>
  <c r="L62" i="18" s="1"/>
  <c r="K25" i="23"/>
  <c r="K67" i="24"/>
  <c r="K119" i="24" s="1"/>
  <c r="K24" i="23"/>
  <c r="K31" i="23"/>
  <c r="K30" i="23"/>
  <c r="K29" i="23"/>
  <c r="K28" i="23"/>
  <c r="K27" i="23"/>
  <c r="K26" i="23"/>
  <c r="K23" i="23"/>
  <c r="C83" i="24"/>
  <c r="C135" i="24" s="1"/>
  <c r="C103" i="23"/>
  <c r="O91" i="23"/>
  <c r="N101" i="23"/>
  <c r="M67" i="1" s="1"/>
  <c r="N102" i="23"/>
  <c r="M69" i="1" s="1"/>
  <c r="N100" i="23"/>
  <c r="M65" i="1" s="1"/>
  <c r="N99" i="23"/>
  <c r="M64" i="1" s="1"/>
  <c r="M44" i="5"/>
  <c r="E43" i="23"/>
  <c r="H43" i="23"/>
  <c r="K43" i="23"/>
  <c r="N43" i="23"/>
  <c r="N61" i="23" s="1"/>
  <c r="M11" i="1" s="1"/>
  <c r="G77" i="24"/>
  <c r="G129" i="24" s="1"/>
  <c r="G70" i="23"/>
  <c r="F36" i="1" s="1"/>
  <c r="G71" i="23"/>
  <c r="F37" i="1" s="1"/>
  <c r="G72" i="23"/>
  <c r="F38" i="1" s="1"/>
  <c r="G69" i="23"/>
  <c r="F35" i="1" s="1"/>
  <c r="G64" i="23"/>
  <c r="F14" i="10"/>
  <c r="L63" i="23" s="1"/>
  <c r="D82" i="24"/>
  <c r="D134" i="24" s="1"/>
  <c r="D88" i="23"/>
  <c r="C104" i="23"/>
  <c r="O97" i="23"/>
  <c r="C18" i="17"/>
  <c r="C19" i="17" s="1"/>
  <c r="D29" i="20"/>
  <c r="B33" i="20" s="1"/>
  <c r="F33" i="20" s="1"/>
  <c r="AF66" i="22"/>
  <c r="AJ66" i="22" s="1"/>
  <c r="AH72" i="22"/>
  <c r="AF76" i="22" s="1"/>
  <c r="AI76" i="22" s="1"/>
  <c r="M25" i="23"/>
  <c r="N64" i="23"/>
  <c r="M78" i="24"/>
  <c r="M130" i="24" s="1"/>
  <c r="M66" i="23"/>
  <c r="I67" i="24"/>
  <c r="I119" i="24" s="1"/>
  <c r="I27" i="23"/>
  <c r="I25" i="23"/>
  <c r="I31" i="23"/>
  <c r="I26" i="23"/>
  <c r="I28" i="23"/>
  <c r="I22" i="23"/>
  <c r="I23" i="23"/>
  <c r="I29" i="23"/>
  <c r="M74" i="5"/>
  <c r="H77" i="24"/>
  <c r="H129" i="24" s="1"/>
  <c r="H71" i="23"/>
  <c r="G37" i="1" s="1"/>
  <c r="H72" i="23"/>
  <c r="G38" i="1" s="1"/>
  <c r="H69" i="23"/>
  <c r="G35" i="1" s="1"/>
  <c r="H64" i="23"/>
  <c r="H70" i="23"/>
  <c r="G36" i="1" s="1"/>
  <c r="D169" i="23"/>
  <c r="C80" i="1" s="1"/>
  <c r="K169" i="23"/>
  <c r="J80" i="1" s="1"/>
  <c r="I169" i="23"/>
  <c r="H80" i="1" s="1"/>
  <c r="H169" i="23"/>
  <c r="G80" i="1" s="1"/>
  <c r="N169" i="23"/>
  <c r="M80" i="1" s="1"/>
  <c r="J169" i="23"/>
  <c r="I80" i="1" s="1"/>
  <c r="G169" i="23"/>
  <c r="F80" i="1" s="1"/>
  <c r="L169" i="23"/>
  <c r="K80" i="1" s="1"/>
  <c r="F169" i="23"/>
  <c r="E80" i="1" s="1"/>
  <c r="E169" i="23"/>
  <c r="D80" i="1" s="1"/>
  <c r="M169" i="23"/>
  <c r="L80" i="1" s="1"/>
  <c r="E71" i="24"/>
  <c r="E123" i="24" s="1"/>
  <c r="E37" i="23"/>
  <c r="E38" i="23"/>
  <c r="O38" i="23" s="1"/>
  <c r="E40" i="23"/>
  <c r="E39" i="23"/>
  <c r="E35" i="23"/>
  <c r="O35" i="23" s="1"/>
  <c r="N78" i="24"/>
  <c r="N130" i="24" s="1"/>
  <c r="N66" i="23"/>
  <c r="D21" i="16"/>
  <c r="D42" i="16"/>
  <c r="B45" i="16" s="1"/>
  <c r="F45" i="16" s="1"/>
  <c r="V37" i="22"/>
  <c r="Z37" i="22" s="1"/>
  <c r="C69" i="24"/>
  <c r="C121" i="24" s="1"/>
  <c r="O19" i="23"/>
  <c r="O21" i="23" s="1"/>
  <c r="M20" i="4"/>
  <c r="E44" i="23"/>
  <c r="K44" i="23"/>
  <c r="C73" i="24"/>
  <c r="C125" i="24" s="1"/>
  <c r="O46" i="23"/>
  <c r="O48" i="23" s="1"/>
  <c r="F73" i="24"/>
  <c r="F125" i="24" s="1"/>
  <c r="F54" i="23"/>
  <c r="I73" i="24"/>
  <c r="I125" i="24" s="1"/>
  <c r="I54" i="23"/>
  <c r="L73" i="24"/>
  <c r="L125" i="24" s="1"/>
  <c r="L54" i="23"/>
  <c r="F6" i="10"/>
  <c r="D63" i="23" s="1"/>
  <c r="D73" i="23" s="1"/>
  <c r="C39" i="1" s="1"/>
  <c r="I86" i="23"/>
  <c r="H20" i="1" s="1"/>
  <c r="M86" i="23"/>
  <c r="L20" i="1" s="1"/>
  <c r="J86" i="23"/>
  <c r="I20" i="1" s="1"/>
  <c r="H29" i="16"/>
  <c r="H21" i="16"/>
  <c r="H50" i="16"/>
  <c r="O29" i="16"/>
  <c r="M32" i="16" s="1"/>
  <c r="Q32" i="16" s="1"/>
  <c r="O42" i="16"/>
  <c r="O21" i="16"/>
  <c r="M24" i="16" s="1"/>
  <c r="Q24" i="16" s="1"/>
  <c r="O50" i="16"/>
  <c r="L77" i="18"/>
  <c r="B77" i="18"/>
  <c r="C27" i="23"/>
  <c r="I55" i="23"/>
  <c r="H6" i="1" s="1"/>
  <c r="J54" i="23"/>
  <c r="D57" i="24"/>
  <c r="C57" i="24"/>
  <c r="M57" i="24"/>
  <c r="K57" i="24"/>
  <c r="H57" i="24"/>
  <c r="F57" i="24"/>
  <c r="E57" i="24"/>
  <c r="L57" i="24"/>
  <c r="J57" i="24"/>
  <c r="I57" i="24"/>
  <c r="G57" i="24"/>
  <c r="N57" i="24"/>
  <c r="O98" i="23"/>
  <c r="D18" i="17"/>
  <c r="D19" i="17" s="1"/>
  <c r="N53" i="19"/>
  <c r="L56" i="19" s="1"/>
  <c r="O56" i="19" s="1"/>
  <c r="N37" i="19"/>
  <c r="L40" i="19" s="1"/>
  <c r="O40" i="19" s="1"/>
  <c r="AH42" i="22"/>
  <c r="AF45" i="22" s="1"/>
  <c r="AJ45" i="22" s="1"/>
  <c r="N35" i="23"/>
  <c r="N71" i="24"/>
  <c r="N123" i="24" s="1"/>
  <c r="N40" i="23"/>
  <c r="L82" i="23"/>
  <c r="K16" i="1" s="1"/>
  <c r="J83" i="23"/>
  <c r="I17" i="1" s="1"/>
  <c r="K83" i="23"/>
  <c r="J17" i="1" s="1"/>
  <c r="I83" i="23"/>
  <c r="H17" i="1" s="1"/>
  <c r="H83" i="23"/>
  <c r="G17" i="1" s="1"/>
  <c r="I84" i="23"/>
  <c r="H18" i="1" s="1"/>
  <c r="H84" i="23"/>
  <c r="G18" i="1" s="1"/>
  <c r="V72" i="22"/>
  <c r="C71" i="24"/>
  <c r="C123" i="24" s="1"/>
  <c r="C34" i="23"/>
  <c r="C36" i="23" s="1"/>
  <c r="C37" i="23"/>
  <c r="C40" i="23"/>
  <c r="O33" i="23"/>
  <c r="O34" i="23" s="1"/>
  <c r="N39" i="23"/>
  <c r="J84" i="23"/>
  <c r="I18" i="1" s="1"/>
  <c r="E100" i="23"/>
  <c r="D65" i="1" s="1"/>
  <c r="E99" i="23"/>
  <c r="D64" i="1" s="1"/>
  <c r="C125" i="23"/>
  <c r="C123" i="23"/>
  <c r="C127" i="23"/>
  <c r="C128" i="23"/>
  <c r="O121" i="23"/>
  <c r="O122" i="23" s="1"/>
  <c r="H44" i="23"/>
  <c r="H61" i="23" s="1"/>
  <c r="G11" i="1" s="1"/>
  <c r="N44" i="23"/>
  <c r="C82" i="24"/>
  <c r="C134" i="24" s="1"/>
  <c r="O80" i="23"/>
  <c r="N89" i="23"/>
  <c r="P18" i="17"/>
  <c r="P19" i="17" s="1"/>
  <c r="L84" i="23"/>
  <c r="K18" i="1" s="1"/>
  <c r="D85" i="24"/>
  <c r="D137" i="24" s="1"/>
  <c r="D125" i="23"/>
  <c r="C116" i="1" s="1"/>
  <c r="D123" i="23"/>
  <c r="C114" i="1" s="1"/>
  <c r="D128" i="23"/>
  <c r="C119" i="1" s="1"/>
  <c r="D126" i="23"/>
  <c r="C117" i="1" s="1"/>
  <c r="D127" i="23"/>
  <c r="C118" i="1" s="1"/>
  <c r="D124" i="23"/>
  <c r="C115" i="1" s="1"/>
  <c r="G67" i="24"/>
  <c r="G119" i="24" s="1"/>
  <c r="G29" i="23"/>
  <c r="G24" i="23"/>
  <c r="G30" i="23"/>
  <c r="G25" i="23"/>
  <c r="G31" i="23"/>
  <c r="C72" i="24"/>
  <c r="C124" i="24" s="1"/>
  <c r="C59" i="23"/>
  <c r="C58" i="23"/>
  <c r="C53" i="23"/>
  <c r="C56" i="23"/>
  <c r="N19" i="19"/>
  <c r="L22" i="19" s="1"/>
  <c r="O22" i="19" s="1"/>
  <c r="L153" i="23"/>
  <c r="K100" i="1" s="1"/>
  <c r="K153" i="23"/>
  <c r="J100" i="1" s="1"/>
  <c r="J153" i="23"/>
  <c r="I100" i="1" s="1"/>
  <c r="I153" i="23"/>
  <c r="H100" i="1" s="1"/>
  <c r="H153" i="23"/>
  <c r="G100" i="1" s="1"/>
  <c r="G153" i="23"/>
  <c r="F100" i="1" s="1"/>
  <c r="D153" i="23"/>
  <c r="C100" i="1" s="1"/>
  <c r="C153" i="23"/>
  <c r="F153" i="23"/>
  <c r="E100" i="1" s="1"/>
  <c r="E153" i="23"/>
  <c r="D100" i="1" s="1"/>
  <c r="N153" i="23"/>
  <c r="M100" i="1" s="1"/>
  <c r="M153" i="23"/>
  <c r="L100" i="1" s="1"/>
  <c r="G71" i="24"/>
  <c r="G123" i="24" s="1"/>
  <c r="G38" i="23"/>
  <c r="G39" i="23"/>
  <c r="G40" i="23"/>
  <c r="N34" i="23"/>
  <c r="N36" i="23" s="1"/>
  <c r="M114" i="23"/>
  <c r="L87" i="1" s="1"/>
  <c r="M113" i="23"/>
  <c r="L86" i="1" s="1"/>
  <c r="M111" i="23"/>
  <c r="L84" i="1" s="1"/>
  <c r="M116" i="23"/>
  <c r="L89" i="1" s="1"/>
  <c r="L140" i="23"/>
  <c r="K109" i="1" s="1"/>
  <c r="L139" i="23"/>
  <c r="K108" i="1" s="1"/>
  <c r="L135" i="23"/>
  <c r="K104" i="1" s="1"/>
  <c r="K111" i="1" s="1"/>
  <c r="N81" i="23"/>
  <c r="M15" i="1" s="1"/>
  <c r="C81" i="24"/>
  <c r="C133" i="24" s="1"/>
  <c r="C88" i="23"/>
  <c r="C89" i="23"/>
  <c r="O79" i="23"/>
  <c r="J102" i="23"/>
  <c r="I69" i="1" s="1"/>
  <c r="J100" i="23"/>
  <c r="I65" i="1" s="1"/>
  <c r="N61" i="19"/>
  <c r="G22" i="23"/>
  <c r="G28" i="23"/>
  <c r="C39" i="23"/>
  <c r="L55" i="23"/>
  <c r="K6" i="1" s="1"/>
  <c r="C79" i="24"/>
  <c r="C131" i="24" s="1"/>
  <c r="C83" i="23"/>
  <c r="C85" i="23"/>
  <c r="C86" i="23"/>
  <c r="C84" i="23"/>
  <c r="O75" i="23"/>
  <c r="C86" i="24"/>
  <c r="C138" i="24" s="1"/>
  <c r="C139" i="23"/>
  <c r="C135" i="23"/>
  <c r="C140" i="23"/>
  <c r="C137" i="23"/>
  <c r="C138" i="23"/>
  <c r="O131" i="23"/>
  <c r="O132" i="23" s="1"/>
  <c r="D79" i="24"/>
  <c r="D131" i="24" s="1"/>
  <c r="D83" i="23"/>
  <c r="C17" i="1" s="1"/>
  <c r="D86" i="23"/>
  <c r="C20" i="1" s="1"/>
  <c r="D84" i="23"/>
  <c r="C18" i="1" s="1"/>
  <c r="C81" i="23"/>
  <c r="E81" i="24"/>
  <c r="E133" i="24" s="1"/>
  <c r="E88" i="23"/>
  <c r="M83" i="24"/>
  <c r="M135" i="24" s="1"/>
  <c r="M103" i="23"/>
  <c r="L70" i="1" s="1"/>
  <c r="L102" i="23"/>
  <c r="K69" i="1" s="1"/>
  <c r="L101" i="23"/>
  <c r="K67" i="1" s="1"/>
  <c r="L100" i="23"/>
  <c r="K65" i="1" s="1"/>
  <c r="L99" i="23"/>
  <c r="K64" i="1" s="1"/>
  <c r="K71" i="1" s="1"/>
  <c r="D55" i="24"/>
  <c r="C55" i="24"/>
  <c r="I55" i="24"/>
  <c r="G55" i="24"/>
  <c r="N55" i="24"/>
  <c r="M55" i="24"/>
  <c r="L55" i="24"/>
  <c r="K55" i="24"/>
  <c r="H55" i="24"/>
  <c r="F55" i="24"/>
  <c r="E55" i="24"/>
  <c r="J55" i="24"/>
  <c r="N45" i="19"/>
  <c r="L48" i="19" s="1"/>
  <c r="O48" i="19" s="1"/>
  <c r="C165" i="23"/>
  <c r="M165" i="23"/>
  <c r="L76" i="1" s="1"/>
  <c r="L81" i="1" s="1"/>
  <c r="L165" i="23"/>
  <c r="K76" i="1" s="1"/>
  <c r="J165" i="23"/>
  <c r="I76" i="1" s="1"/>
  <c r="K165" i="23"/>
  <c r="J76" i="1" s="1"/>
  <c r="I165" i="23"/>
  <c r="H76" i="1" s="1"/>
  <c r="H165" i="23"/>
  <c r="G76" i="1" s="1"/>
  <c r="G165" i="23"/>
  <c r="F76" i="1" s="1"/>
  <c r="D165" i="23"/>
  <c r="C76" i="1" s="1"/>
  <c r="N165" i="23"/>
  <c r="M76" i="1" s="1"/>
  <c r="F165" i="23"/>
  <c r="E76" i="1" s="1"/>
  <c r="E165" i="23"/>
  <c r="D76" i="1" s="1"/>
  <c r="G26" i="23"/>
  <c r="E79" i="24"/>
  <c r="E131" i="24" s="1"/>
  <c r="E83" i="23"/>
  <c r="D17" i="1" s="1"/>
  <c r="E84" i="23"/>
  <c r="D18" i="1" s="1"/>
  <c r="E86" i="23"/>
  <c r="D20" i="1" s="1"/>
  <c r="E85" i="23"/>
  <c r="D19" i="1" s="1"/>
  <c r="E76" i="23"/>
  <c r="D76" i="23"/>
  <c r="L81" i="23"/>
  <c r="K15" i="1" s="1"/>
  <c r="F79" i="24"/>
  <c r="F131" i="24" s="1"/>
  <c r="F84" i="23"/>
  <c r="E18" i="1" s="1"/>
  <c r="F85" i="23"/>
  <c r="E19" i="1" s="1"/>
  <c r="F83" i="23"/>
  <c r="E17" i="1" s="1"/>
  <c r="H88" i="23"/>
  <c r="G79" i="24"/>
  <c r="G131" i="24" s="1"/>
  <c r="G85" i="23"/>
  <c r="F19" i="1" s="1"/>
  <c r="G86" i="23"/>
  <c r="F20" i="1" s="1"/>
  <c r="G84" i="23"/>
  <c r="F18" i="1" s="1"/>
  <c r="G76" i="23"/>
  <c r="F76" i="23"/>
  <c r="F34" i="23"/>
  <c r="F36" i="23" s="1"/>
  <c r="K66" i="23"/>
  <c r="K80" i="24"/>
  <c r="K132" i="24" s="1"/>
  <c r="K84" i="23"/>
  <c r="J18" i="1" s="1"/>
  <c r="K78" i="23"/>
  <c r="K82" i="23" s="1"/>
  <c r="J16" i="1" s="1"/>
  <c r="K85" i="23"/>
  <c r="J19" i="1" s="1"/>
  <c r="D81" i="24"/>
  <c r="D133" i="24" s="1"/>
  <c r="D89" i="23"/>
  <c r="F86" i="23"/>
  <c r="E20" i="1" s="1"/>
  <c r="N86" i="24"/>
  <c r="N138" i="24" s="1"/>
  <c r="N140" i="23"/>
  <c r="M109" i="1" s="1"/>
  <c r="N138" i="23"/>
  <c r="M107" i="1" s="1"/>
  <c r="N139" i="23"/>
  <c r="M108" i="1" s="1"/>
  <c r="N135" i="23"/>
  <c r="M104" i="1" s="1"/>
  <c r="N137" i="23"/>
  <c r="M106" i="1" s="1"/>
  <c r="M140" i="23"/>
  <c r="L109" i="1" s="1"/>
  <c r="M135" i="23"/>
  <c r="L104" i="1" s="1"/>
  <c r="L168" i="23"/>
  <c r="K79" i="1" s="1"/>
  <c r="L166" i="23"/>
  <c r="K77" i="1" s="1"/>
  <c r="L164" i="23"/>
  <c r="K75" i="1" s="1"/>
  <c r="L88" i="24"/>
  <c r="L140" i="24" s="1"/>
  <c r="L167" i="23"/>
  <c r="K78" i="1" s="1"/>
  <c r="L163" i="23"/>
  <c r="K74" i="1" s="1"/>
  <c r="H85" i="23"/>
  <c r="G19" i="1" s="1"/>
  <c r="F88" i="23"/>
  <c r="M88" i="23"/>
  <c r="O17" i="23"/>
  <c r="H71" i="24"/>
  <c r="H123" i="24" s="1"/>
  <c r="H40" i="23"/>
  <c r="H34" i="23"/>
  <c r="H36" i="23" s="1"/>
  <c r="F39" i="23"/>
  <c r="F55" i="23"/>
  <c r="E6" i="1" s="1"/>
  <c r="C100" i="23"/>
  <c r="C101" i="23"/>
  <c r="C99" i="23"/>
  <c r="C102" i="23"/>
  <c r="O92" i="23"/>
  <c r="I71" i="24"/>
  <c r="I123" i="24" s="1"/>
  <c r="I40" i="23"/>
  <c r="I34" i="23"/>
  <c r="I36" i="23" s="1"/>
  <c r="L79" i="24"/>
  <c r="L131" i="24" s="1"/>
  <c r="L86" i="23"/>
  <c r="K20" i="1" s="1"/>
  <c r="L85" i="23"/>
  <c r="K19" i="1" s="1"/>
  <c r="L83" i="23"/>
  <c r="K17" i="1" s="1"/>
  <c r="N80" i="24"/>
  <c r="N132" i="24" s="1"/>
  <c r="N78" i="23"/>
  <c r="N82" i="23" s="1"/>
  <c r="M16" i="1" s="1"/>
  <c r="N86" i="23"/>
  <c r="M20" i="1" s="1"/>
  <c r="O93" i="23"/>
  <c r="O77" i="23"/>
  <c r="O78" i="23" s="1"/>
  <c r="I84" i="24"/>
  <c r="I136" i="24" s="1"/>
  <c r="I116" i="23"/>
  <c r="H89" i="1" s="1"/>
  <c r="I115" i="23"/>
  <c r="H88" i="1" s="1"/>
  <c r="I114" i="23"/>
  <c r="H87" i="1" s="1"/>
  <c r="I113" i="23"/>
  <c r="H86" i="1" s="1"/>
  <c r="I111" i="23"/>
  <c r="H84" i="1" s="1"/>
  <c r="H91" i="1" s="1"/>
  <c r="N87" i="24"/>
  <c r="N139" i="24" s="1"/>
  <c r="N149" i="23"/>
  <c r="M96" i="1" s="1"/>
  <c r="N147" i="23"/>
  <c r="M94" i="1" s="1"/>
  <c r="N150" i="23"/>
  <c r="M97" i="1" s="1"/>
  <c r="N151" i="23"/>
  <c r="M98" i="1" s="1"/>
  <c r="N152" i="23"/>
  <c r="M99" i="1" s="1"/>
  <c r="N148" i="23"/>
  <c r="M95" i="1" s="1"/>
  <c r="I39" i="23"/>
  <c r="N79" i="24"/>
  <c r="N131" i="24" s="1"/>
  <c r="N84" i="23"/>
  <c r="M18" i="1" s="1"/>
  <c r="N83" i="23"/>
  <c r="M17" i="1" s="1"/>
  <c r="N85" i="23"/>
  <c r="M19" i="1" s="1"/>
  <c r="C78" i="23"/>
  <c r="C82" i="23" s="1"/>
  <c r="J84" i="24"/>
  <c r="J136" i="24" s="1"/>
  <c r="J116" i="23"/>
  <c r="I89" i="1" s="1"/>
  <c r="J115" i="23"/>
  <c r="I88" i="1" s="1"/>
  <c r="J114" i="23"/>
  <c r="I87" i="1" s="1"/>
  <c r="J113" i="23"/>
  <c r="I86" i="1" s="1"/>
  <c r="J111" i="23"/>
  <c r="I84" i="1" s="1"/>
  <c r="I91" i="1" s="1"/>
  <c r="F83" i="24"/>
  <c r="F135" i="24" s="1"/>
  <c r="F103" i="23"/>
  <c r="E70" i="1" s="1"/>
  <c r="E102" i="23"/>
  <c r="D69" i="1" s="1"/>
  <c r="E101" i="23"/>
  <c r="D67" i="1" s="1"/>
  <c r="G85" i="24"/>
  <c r="G137" i="24" s="1"/>
  <c r="G128" i="23"/>
  <c r="F119" i="1" s="1"/>
  <c r="G127" i="23"/>
  <c r="F118" i="1" s="1"/>
  <c r="G126" i="23"/>
  <c r="F117" i="1" s="1"/>
  <c r="G125" i="23"/>
  <c r="F116" i="1" s="1"/>
  <c r="G123" i="23"/>
  <c r="F114" i="1" s="1"/>
  <c r="G124" i="23"/>
  <c r="F115" i="1" s="1"/>
  <c r="D148" i="23"/>
  <c r="C95" i="1" s="1"/>
  <c r="N166" i="23"/>
  <c r="M77" i="1" s="1"/>
  <c r="N163" i="23"/>
  <c r="M74" i="1" s="1"/>
  <c r="N88" i="24"/>
  <c r="N140" i="24" s="1"/>
  <c r="N167" i="23"/>
  <c r="M78" i="1" s="1"/>
  <c r="N168" i="23"/>
  <c r="M79" i="1" s="1"/>
  <c r="J71" i="24"/>
  <c r="J123" i="24" s="1"/>
  <c r="J39" i="23"/>
  <c r="J34" i="23"/>
  <c r="J36" i="23" s="1"/>
  <c r="J35" i="23"/>
  <c r="J37" i="23"/>
  <c r="J38" i="23"/>
  <c r="O50" i="23"/>
  <c r="O65" i="23"/>
  <c r="H79" i="24"/>
  <c r="H131" i="24" s="1"/>
  <c r="H86" i="23"/>
  <c r="G20" i="1" s="1"/>
  <c r="G80" i="24"/>
  <c r="G132" i="24" s="1"/>
  <c r="G78" i="23"/>
  <c r="H100" i="23"/>
  <c r="G65" i="1" s="1"/>
  <c r="G71" i="1" s="1"/>
  <c r="H101" i="23"/>
  <c r="G67" i="1" s="1"/>
  <c r="F99" i="23"/>
  <c r="E64" i="1" s="1"/>
  <c r="F100" i="23"/>
  <c r="E65" i="1" s="1"/>
  <c r="I99" i="23"/>
  <c r="H64" i="1" s="1"/>
  <c r="H71" i="1" s="1"/>
  <c r="N114" i="23"/>
  <c r="M87" i="1" s="1"/>
  <c r="N84" i="24"/>
  <c r="N136" i="24" s="1"/>
  <c r="N113" i="23"/>
  <c r="M86" i="1" s="1"/>
  <c r="N111" i="23"/>
  <c r="M84" i="1" s="1"/>
  <c r="N116" i="23"/>
  <c r="M89" i="1" s="1"/>
  <c r="N115" i="23"/>
  <c r="M88" i="1" s="1"/>
  <c r="I127" i="23"/>
  <c r="H118" i="1" s="1"/>
  <c r="I125" i="23"/>
  <c r="H116" i="1" s="1"/>
  <c r="I123" i="23"/>
  <c r="H114" i="1" s="1"/>
  <c r="F138" i="23"/>
  <c r="E107" i="1" s="1"/>
  <c r="F139" i="23"/>
  <c r="E108" i="1" s="1"/>
  <c r="F140" i="23"/>
  <c r="E109" i="1" s="1"/>
  <c r="G87" i="24"/>
  <c r="G139" i="24" s="1"/>
  <c r="G151" i="23"/>
  <c r="F98" i="1" s="1"/>
  <c r="G152" i="23"/>
  <c r="F99" i="1" s="1"/>
  <c r="G147" i="23"/>
  <c r="F94" i="1" s="1"/>
  <c r="G149" i="23"/>
  <c r="F96" i="1" s="1"/>
  <c r="G148" i="23"/>
  <c r="F95" i="1" s="1"/>
  <c r="O20" i="23"/>
  <c r="K71" i="24"/>
  <c r="K123" i="24" s="1"/>
  <c r="K38" i="23"/>
  <c r="K34" i="23"/>
  <c r="K36" i="23" s="1"/>
  <c r="K35" i="23"/>
  <c r="K37" i="23"/>
  <c r="C66" i="23"/>
  <c r="I79" i="24"/>
  <c r="I131" i="24" s="1"/>
  <c r="I76" i="23"/>
  <c r="H76" i="23"/>
  <c r="J88" i="23"/>
  <c r="J81" i="24"/>
  <c r="J133" i="24" s="1"/>
  <c r="J81" i="23"/>
  <c r="I15" i="1" s="1"/>
  <c r="J83" i="24"/>
  <c r="J135" i="24" s="1"/>
  <c r="I100" i="23"/>
  <c r="H65" i="1" s="1"/>
  <c r="O112" i="23"/>
  <c r="O109" i="23"/>
  <c r="O110" i="23" s="1"/>
  <c r="K85" i="24"/>
  <c r="K137" i="24" s="1"/>
  <c r="K128" i="23"/>
  <c r="J119" i="1" s="1"/>
  <c r="K127" i="23"/>
  <c r="J118" i="1" s="1"/>
  <c r="K126" i="23"/>
  <c r="J117" i="1" s="1"/>
  <c r="K125" i="23"/>
  <c r="J116" i="1" s="1"/>
  <c r="K123" i="23"/>
  <c r="J114" i="1" s="1"/>
  <c r="K124" i="23"/>
  <c r="J115" i="1" s="1"/>
  <c r="J128" i="23"/>
  <c r="I119" i="1" s="1"/>
  <c r="J127" i="23"/>
  <c r="I118" i="1" s="1"/>
  <c r="J126" i="23"/>
  <c r="I117" i="1" s="1"/>
  <c r="J125" i="23"/>
  <c r="I116" i="1" s="1"/>
  <c r="J123" i="23"/>
  <c r="I114" i="1" s="1"/>
  <c r="H135" i="23"/>
  <c r="G104" i="1" s="1"/>
  <c r="H138" i="23"/>
  <c r="G107" i="1" s="1"/>
  <c r="H139" i="23"/>
  <c r="G108" i="1" s="1"/>
  <c r="H86" i="24"/>
  <c r="H138" i="24" s="1"/>
  <c r="H140" i="23"/>
  <c r="G109" i="1" s="1"/>
  <c r="H137" i="23"/>
  <c r="G106" i="1" s="1"/>
  <c r="K81" i="24"/>
  <c r="K133" i="24" s="1"/>
  <c r="K88" i="23"/>
  <c r="J99" i="23"/>
  <c r="I64" i="1" s="1"/>
  <c r="I71" i="1" s="1"/>
  <c r="E66" i="23"/>
  <c r="K81" i="23"/>
  <c r="J15" i="1" s="1"/>
  <c r="J22" i="1" s="1"/>
  <c r="J30" i="1" s="1"/>
  <c r="K99" i="23"/>
  <c r="J64" i="1" s="1"/>
  <c r="E111" i="23"/>
  <c r="D84" i="1" s="1"/>
  <c r="E84" i="24"/>
  <c r="E136" i="24" s="1"/>
  <c r="E114" i="23"/>
  <c r="D87" i="1" s="1"/>
  <c r="E113" i="23"/>
  <c r="D86" i="1" s="1"/>
  <c r="H168" i="23"/>
  <c r="G79" i="1" s="1"/>
  <c r="H163" i="23"/>
  <c r="G74" i="1" s="1"/>
  <c r="H88" i="24"/>
  <c r="H140" i="24" s="1"/>
  <c r="H166" i="23"/>
  <c r="G77" i="1" s="1"/>
  <c r="H164" i="23"/>
  <c r="G75" i="1" s="1"/>
  <c r="K150" i="23"/>
  <c r="J97" i="1" s="1"/>
  <c r="K151" i="23"/>
  <c r="J98" i="1" s="1"/>
  <c r="K148" i="23"/>
  <c r="J95" i="1" s="1"/>
  <c r="H78" i="24"/>
  <c r="H130" i="24" s="1"/>
  <c r="H66" i="23"/>
  <c r="M85" i="23"/>
  <c r="L19" i="1" s="1"/>
  <c r="M84" i="23"/>
  <c r="L18" i="1" s="1"/>
  <c r="M83" i="23"/>
  <c r="L17" i="1" s="1"/>
  <c r="M76" i="23"/>
  <c r="N83" i="24"/>
  <c r="N135" i="24" s="1"/>
  <c r="N103" i="23"/>
  <c r="M70" i="1" s="1"/>
  <c r="M102" i="23"/>
  <c r="L69" i="1" s="1"/>
  <c r="M101" i="23"/>
  <c r="L67" i="1" s="1"/>
  <c r="M100" i="23"/>
  <c r="L65" i="1" s="1"/>
  <c r="M99" i="23"/>
  <c r="L64" i="1" s="1"/>
  <c r="G84" i="24"/>
  <c r="G136" i="24" s="1"/>
  <c r="G115" i="23"/>
  <c r="F88" i="1" s="1"/>
  <c r="G111" i="23"/>
  <c r="F84" i="1" s="1"/>
  <c r="F91" i="1" s="1"/>
  <c r="G112" i="23"/>
  <c r="F85" i="1" s="1"/>
  <c r="E112" i="23"/>
  <c r="D85" i="1" s="1"/>
  <c r="E115" i="23"/>
  <c r="D88" i="1" s="1"/>
  <c r="C124" i="23"/>
  <c r="H116" i="23"/>
  <c r="G89" i="1" s="1"/>
  <c r="E85" i="24"/>
  <c r="E137" i="24" s="1"/>
  <c r="E123" i="23"/>
  <c r="D114" i="1" s="1"/>
  <c r="D121" i="1" s="1"/>
  <c r="E128" i="23"/>
  <c r="D119" i="1" s="1"/>
  <c r="E127" i="23"/>
  <c r="D118" i="1" s="1"/>
  <c r="E126" i="23"/>
  <c r="D117" i="1" s="1"/>
  <c r="E125" i="23"/>
  <c r="D116" i="1" s="1"/>
  <c r="E124" i="23"/>
  <c r="D115" i="1" s="1"/>
  <c r="I86" i="24"/>
  <c r="I138" i="24" s="1"/>
  <c r="I135" i="23"/>
  <c r="H104" i="1" s="1"/>
  <c r="I139" i="23"/>
  <c r="H108" i="1" s="1"/>
  <c r="I140" i="23"/>
  <c r="H109" i="1" s="1"/>
  <c r="G137" i="23"/>
  <c r="F106" i="1" s="1"/>
  <c r="G138" i="23"/>
  <c r="F107" i="1" s="1"/>
  <c r="G139" i="23"/>
  <c r="F108" i="1" s="1"/>
  <c r="E147" i="23"/>
  <c r="D94" i="1" s="1"/>
  <c r="O159" i="23"/>
  <c r="O160" i="23" s="1"/>
  <c r="D99" i="23"/>
  <c r="C64" i="1" s="1"/>
  <c r="C71" i="1" s="1"/>
  <c r="H111" i="23"/>
  <c r="G84" i="1" s="1"/>
  <c r="F123" i="23"/>
  <c r="E114" i="1" s="1"/>
  <c r="F128" i="23"/>
  <c r="E119" i="1" s="1"/>
  <c r="F127" i="23"/>
  <c r="E118" i="1" s="1"/>
  <c r="F126" i="23"/>
  <c r="E117" i="1" s="1"/>
  <c r="F125" i="23"/>
  <c r="E116" i="1" s="1"/>
  <c r="F124" i="23"/>
  <c r="E115" i="1" s="1"/>
  <c r="I136" i="23"/>
  <c r="H105" i="1" s="1"/>
  <c r="G140" i="23"/>
  <c r="F109" i="1" s="1"/>
  <c r="F149" i="23"/>
  <c r="E96" i="1" s="1"/>
  <c r="F87" i="24"/>
  <c r="F139" i="24" s="1"/>
  <c r="F150" i="23"/>
  <c r="E97" i="1" s="1"/>
  <c r="F151" i="23"/>
  <c r="E98" i="1" s="1"/>
  <c r="F152" i="23"/>
  <c r="E99" i="1" s="1"/>
  <c r="F147" i="23"/>
  <c r="E94" i="1" s="1"/>
  <c r="O161" i="23"/>
  <c r="O162" i="23" s="1"/>
  <c r="H81" i="24"/>
  <c r="H133" i="24" s="1"/>
  <c r="H89" i="23"/>
  <c r="O95" i="23"/>
  <c r="O96" i="23"/>
  <c r="J101" i="23"/>
  <c r="I67" i="1" s="1"/>
  <c r="J112" i="23"/>
  <c r="I85" i="1" s="1"/>
  <c r="H113" i="23"/>
  <c r="G86" i="1" s="1"/>
  <c r="J166" i="23"/>
  <c r="I77" i="1" s="1"/>
  <c r="O47" i="23"/>
  <c r="I66" i="23"/>
  <c r="J78" i="23"/>
  <c r="J82" i="23" s="1"/>
  <c r="I16" i="1" s="1"/>
  <c r="I81" i="24"/>
  <c r="I133" i="24" s="1"/>
  <c r="I89" i="23"/>
  <c r="I88" i="23"/>
  <c r="K101" i="23"/>
  <c r="J67" i="1" s="1"/>
  <c r="M137" i="23"/>
  <c r="L106" i="1" s="1"/>
  <c r="M138" i="23"/>
  <c r="L107" i="1" s="1"/>
  <c r="M139" i="23"/>
  <c r="L108" i="1" s="1"/>
  <c r="M86" i="24"/>
  <c r="M138" i="24" s="1"/>
  <c r="K139" i="23"/>
  <c r="J108" i="1" s="1"/>
  <c r="K137" i="23"/>
  <c r="J106" i="1" s="1"/>
  <c r="J111" i="1" s="1"/>
  <c r="K138" i="23"/>
  <c r="J107" i="1" s="1"/>
  <c r="K140" i="23"/>
  <c r="J109" i="1" s="1"/>
  <c r="I87" i="24"/>
  <c r="I139" i="24" s="1"/>
  <c r="I147" i="23"/>
  <c r="H94" i="1" s="1"/>
  <c r="I148" i="23"/>
  <c r="H95" i="1" s="1"/>
  <c r="I152" i="23"/>
  <c r="H99" i="1" s="1"/>
  <c r="G166" i="23"/>
  <c r="F77" i="1" s="1"/>
  <c r="G163" i="23"/>
  <c r="F74" i="1" s="1"/>
  <c r="G168" i="23"/>
  <c r="F79" i="1" s="1"/>
  <c r="M78" i="23"/>
  <c r="L89" i="23"/>
  <c r="K83" i="24"/>
  <c r="K135" i="24" s="1"/>
  <c r="D102" i="23"/>
  <c r="C69" i="1" s="1"/>
  <c r="C84" i="24"/>
  <c r="C136" i="24" s="1"/>
  <c r="C113" i="23"/>
  <c r="C116" i="23"/>
  <c r="C115" i="23"/>
  <c r="C114" i="23"/>
  <c r="O107" i="23"/>
  <c r="O108" i="23" s="1"/>
  <c r="N112" i="23"/>
  <c r="M85" i="1" s="1"/>
  <c r="L85" i="24"/>
  <c r="L137" i="24" s="1"/>
  <c r="L128" i="23"/>
  <c r="K119" i="1" s="1"/>
  <c r="L127" i="23"/>
  <c r="K118" i="1" s="1"/>
  <c r="L126" i="23"/>
  <c r="K117" i="1" s="1"/>
  <c r="L125" i="23"/>
  <c r="K116" i="1" s="1"/>
  <c r="L123" i="23"/>
  <c r="K114" i="1" s="1"/>
  <c r="K121" i="1" s="1"/>
  <c r="L124" i="23"/>
  <c r="K115" i="1" s="1"/>
  <c r="D86" i="24"/>
  <c r="D138" i="24" s="1"/>
  <c r="D138" i="23"/>
  <c r="C107" i="1" s="1"/>
  <c r="D135" i="23"/>
  <c r="C104" i="1" s="1"/>
  <c r="C111" i="1" s="1"/>
  <c r="D137" i="23"/>
  <c r="C106" i="1" s="1"/>
  <c r="C136" i="23"/>
  <c r="L151" i="23"/>
  <c r="K98" i="1" s="1"/>
  <c r="L149" i="23"/>
  <c r="K96" i="1" s="1"/>
  <c r="K101" i="1" s="1"/>
  <c r="L150" i="23"/>
  <c r="K97" i="1" s="1"/>
  <c r="L88" i="23"/>
  <c r="M89" i="23"/>
  <c r="L103" i="23"/>
  <c r="K70" i="1" s="1"/>
  <c r="L83" i="24"/>
  <c r="L135" i="24" s="1"/>
  <c r="H112" i="23"/>
  <c r="G85" i="1" s="1"/>
  <c r="O133" i="23"/>
  <c r="O134" i="23" s="1"/>
  <c r="M87" i="24"/>
  <c r="M139" i="24" s="1"/>
  <c r="M150" i="23"/>
  <c r="L97" i="1" s="1"/>
  <c r="M147" i="23"/>
  <c r="L94" i="1" s="1"/>
  <c r="M151" i="23"/>
  <c r="L98" i="1" s="1"/>
  <c r="M152" i="23"/>
  <c r="L99" i="1" s="1"/>
  <c r="E86" i="24"/>
  <c r="E138" i="24" s="1"/>
  <c r="E137" i="23"/>
  <c r="D106" i="1" s="1"/>
  <c r="J149" i="23"/>
  <c r="I96" i="1" s="1"/>
  <c r="I101" i="1" s="1"/>
  <c r="D88" i="24"/>
  <c r="D140" i="24" s="1"/>
  <c r="D166" i="23"/>
  <c r="C77" i="1" s="1"/>
  <c r="D168" i="23"/>
  <c r="D164" i="23"/>
  <c r="C75" i="1" s="1"/>
  <c r="N75" i="1" s="1"/>
  <c r="O157" i="23"/>
  <c r="O158" i="23" s="1"/>
  <c r="K86" i="23"/>
  <c r="J20" i="1" s="1"/>
  <c r="G83" i="24"/>
  <c r="G135" i="24" s="1"/>
  <c r="L116" i="23"/>
  <c r="K89" i="1" s="1"/>
  <c r="L84" i="24"/>
  <c r="L136" i="24" s="1"/>
  <c r="I85" i="24"/>
  <c r="I137" i="24" s="1"/>
  <c r="F86" i="24"/>
  <c r="F138" i="24" s="1"/>
  <c r="F137" i="23"/>
  <c r="E106" i="1" s="1"/>
  <c r="K87" i="24"/>
  <c r="K139" i="24" s="1"/>
  <c r="K152" i="23"/>
  <c r="J99" i="1" s="1"/>
  <c r="K149" i="23"/>
  <c r="J96" i="1" s="1"/>
  <c r="E163" i="23"/>
  <c r="D74" i="1" s="1"/>
  <c r="D81" i="1" s="1"/>
  <c r="E88" i="24"/>
  <c r="E140" i="24" s="1"/>
  <c r="E168" i="23"/>
  <c r="D79" i="1" s="1"/>
  <c r="D167" i="23"/>
  <c r="C78" i="1" s="1"/>
  <c r="M168" i="23"/>
  <c r="L79" i="1" s="1"/>
  <c r="H83" i="24"/>
  <c r="H135" i="24" s="1"/>
  <c r="M84" i="24"/>
  <c r="M136" i="24" s="1"/>
  <c r="M115" i="23"/>
  <c r="L88" i="1" s="1"/>
  <c r="G86" i="24"/>
  <c r="G138" i="24" s="1"/>
  <c r="F136" i="23"/>
  <c r="E105" i="1" s="1"/>
  <c r="E111" i="1" s="1"/>
  <c r="E136" i="23"/>
  <c r="D105" i="1" s="1"/>
  <c r="F88" i="24"/>
  <c r="F140" i="24" s="1"/>
  <c r="F167" i="23"/>
  <c r="E78" i="1" s="1"/>
  <c r="F163" i="23"/>
  <c r="E74" i="1" s="1"/>
  <c r="E81" i="1" s="1"/>
  <c r="E87" i="24"/>
  <c r="E139" i="24" s="1"/>
  <c r="J86" i="24"/>
  <c r="J138" i="24" s="1"/>
  <c r="J140" i="23"/>
  <c r="I109" i="1" s="1"/>
  <c r="J137" i="23"/>
  <c r="I106" i="1" s="1"/>
  <c r="C87" i="24"/>
  <c r="C139" i="24" s="1"/>
  <c r="C152" i="23"/>
  <c r="O143" i="23"/>
  <c r="O144" i="23" s="1"/>
  <c r="C150" i="23"/>
  <c r="I88" i="24"/>
  <c r="I140" i="24" s="1"/>
  <c r="I168" i="23"/>
  <c r="H79" i="1" s="1"/>
  <c r="D163" i="23"/>
  <c r="C74" i="1" s="1"/>
  <c r="I167" i="23"/>
  <c r="H78" i="1" s="1"/>
  <c r="N127" i="23"/>
  <c r="M118" i="1" s="1"/>
  <c r="M121" i="1" s="1"/>
  <c r="D87" i="24"/>
  <c r="D139" i="24" s="1"/>
  <c r="D151" i="23"/>
  <c r="C98" i="1" s="1"/>
  <c r="D147" i="23"/>
  <c r="C94" i="1" s="1"/>
  <c r="C148" i="23"/>
  <c r="D150" i="23"/>
  <c r="C97" i="1" s="1"/>
  <c r="J168" i="23"/>
  <c r="I79" i="1" s="1"/>
  <c r="F84" i="24"/>
  <c r="F136" i="24" s="1"/>
  <c r="C85" i="24"/>
  <c r="C137" i="24" s="1"/>
  <c r="C126" i="23"/>
  <c r="O119" i="23"/>
  <c r="O120" i="23" s="1"/>
  <c r="L86" i="24"/>
  <c r="L138" i="24" s="1"/>
  <c r="L138" i="23"/>
  <c r="K107" i="1" s="1"/>
  <c r="J135" i="23"/>
  <c r="I104" i="1" s="1"/>
  <c r="L137" i="23"/>
  <c r="K106" i="1" s="1"/>
  <c r="E150" i="23"/>
  <c r="D97" i="1" s="1"/>
  <c r="D149" i="23"/>
  <c r="J163" i="23"/>
  <c r="I74" i="1" s="1"/>
  <c r="J88" i="24"/>
  <c r="J140" i="24" s="1"/>
  <c r="K88" i="24"/>
  <c r="K140" i="24" s="1"/>
  <c r="H87" i="24"/>
  <c r="H139" i="24" s="1"/>
  <c r="J85" i="24"/>
  <c r="J137" i="24" s="1"/>
  <c r="K86" i="24"/>
  <c r="K138" i="24" s="1"/>
  <c r="G135" i="23"/>
  <c r="F104" i="1" s="1"/>
  <c r="F111" i="1" s="1"/>
  <c r="L87" i="24"/>
  <c r="L139" i="24" s="1"/>
  <c r="C88" i="24"/>
  <c r="C140" i="24" s="1"/>
  <c r="C163" i="23"/>
  <c r="O155" i="23"/>
  <c r="O156" i="23" s="1"/>
  <c r="N164" i="23"/>
  <c r="M75" i="1" s="1"/>
  <c r="K166" i="23"/>
  <c r="J77" i="1" s="1"/>
  <c r="J167" i="23"/>
  <c r="I78" i="1" s="1"/>
  <c r="K167" i="23"/>
  <c r="J78" i="1" s="1"/>
  <c r="I142" i="1" l="1"/>
  <c r="I154" i="1" s="1"/>
  <c r="B16" i="1"/>
  <c r="O114" i="23"/>
  <c r="B87" i="1"/>
  <c r="N87" i="1" s="1"/>
  <c r="F8" i="23"/>
  <c r="F28" i="24" s="1"/>
  <c r="F41" i="24" s="1"/>
  <c r="E54" i="1"/>
  <c r="O85" i="23"/>
  <c r="B19" i="1"/>
  <c r="N19" i="1" s="1"/>
  <c r="H81" i="23"/>
  <c r="G15" i="1" s="1"/>
  <c r="H82" i="23"/>
  <c r="G16" i="1" s="1"/>
  <c r="F50" i="1"/>
  <c r="G6" i="23"/>
  <c r="G26" i="24" s="1"/>
  <c r="G39" i="24" s="1"/>
  <c r="F52" i="1"/>
  <c r="I9" i="23"/>
  <c r="I29" i="24" s="1"/>
  <c r="I42" i="24" s="1"/>
  <c r="I9" i="24" s="1"/>
  <c r="H55" i="1"/>
  <c r="K72" i="24"/>
  <c r="K124" i="24" s="1"/>
  <c r="K57" i="23"/>
  <c r="J9" i="1" s="1"/>
  <c r="K58" i="23"/>
  <c r="J8" i="1" s="1"/>
  <c r="K59" i="23"/>
  <c r="K60" i="23"/>
  <c r="J10" i="1" s="1"/>
  <c r="J140" i="1" s="1"/>
  <c r="J152" i="1" s="1"/>
  <c r="K53" i="23"/>
  <c r="J5" i="1" s="1"/>
  <c r="K52" i="23"/>
  <c r="J4" i="1" s="1"/>
  <c r="K56" i="23"/>
  <c r="J7" i="1" s="1"/>
  <c r="J51" i="1"/>
  <c r="M5" i="23"/>
  <c r="M25" i="24" s="1"/>
  <c r="M38" i="24" s="1"/>
  <c r="M5" i="24" s="1"/>
  <c r="L51" i="1"/>
  <c r="D79" i="20"/>
  <c r="B73" i="20"/>
  <c r="F73" i="20" s="1"/>
  <c r="D56" i="1"/>
  <c r="I55" i="1"/>
  <c r="C55" i="1"/>
  <c r="J60" i="23"/>
  <c r="I10" i="1" s="1"/>
  <c r="G58" i="23"/>
  <c r="F8" i="1" s="1"/>
  <c r="J67" i="23"/>
  <c r="I33" i="1" s="1"/>
  <c r="J68" i="23"/>
  <c r="I34" i="1" s="1"/>
  <c r="M54" i="1"/>
  <c r="K50" i="1"/>
  <c r="E51" i="1"/>
  <c r="C75" i="24"/>
  <c r="C127" i="24" s="1"/>
  <c r="C19" i="24" s="1"/>
  <c r="O19" i="24" s="1"/>
  <c r="O49" i="23"/>
  <c r="O51" i="23" s="1"/>
  <c r="C60" i="23"/>
  <c r="C12" i="23" s="1"/>
  <c r="M141" i="23"/>
  <c r="L110" i="1" s="1"/>
  <c r="I141" i="23"/>
  <c r="H110" i="1" s="1"/>
  <c r="D141" i="23"/>
  <c r="C110" i="1" s="1"/>
  <c r="C141" i="23"/>
  <c r="L141" i="23"/>
  <c r="K110" i="1" s="1"/>
  <c r="K141" i="23"/>
  <c r="J110" i="1" s="1"/>
  <c r="J141" i="23"/>
  <c r="I110" i="1" s="1"/>
  <c r="N141" i="23"/>
  <c r="M110" i="1" s="1"/>
  <c r="H141" i="23"/>
  <c r="G110" i="1" s="1"/>
  <c r="E141" i="23"/>
  <c r="D110" i="1" s="1"/>
  <c r="F141" i="23"/>
  <c r="E110" i="1" s="1"/>
  <c r="G141" i="23"/>
  <c r="F110" i="1" s="1"/>
  <c r="B83" i="20"/>
  <c r="E83" i="20" s="1"/>
  <c r="M80" i="11"/>
  <c r="K84" i="11" s="1"/>
  <c r="M50" i="11"/>
  <c r="K54" i="11" s="1"/>
  <c r="M18" i="11"/>
  <c r="K22" i="11" s="1"/>
  <c r="M38" i="11"/>
  <c r="K42" i="11" s="1"/>
  <c r="M70" i="11"/>
  <c r="K74" i="11" s="1"/>
  <c r="M60" i="11"/>
  <c r="K64" i="11" s="1"/>
  <c r="M28" i="11"/>
  <c r="K32" i="11" s="1"/>
  <c r="O135" i="23"/>
  <c r="B104" i="1"/>
  <c r="O166" i="23"/>
  <c r="O139" i="23"/>
  <c r="B108" i="1"/>
  <c r="N108" i="1" s="1"/>
  <c r="N71" i="19"/>
  <c r="L75" i="19" s="1"/>
  <c r="O75" i="19" s="1"/>
  <c r="L64" i="19"/>
  <c r="O64" i="19" s="1"/>
  <c r="G11" i="23"/>
  <c r="G31" i="24" s="1"/>
  <c r="G44" i="24" s="1"/>
  <c r="F57" i="1"/>
  <c r="F141" i="1" s="1"/>
  <c r="F153" i="1" s="1"/>
  <c r="J89" i="23"/>
  <c r="D71" i="1"/>
  <c r="B24" i="16"/>
  <c r="F24" i="16" s="1"/>
  <c r="I20" i="24"/>
  <c r="I19" i="24"/>
  <c r="I16" i="24"/>
  <c r="I18" i="24"/>
  <c r="I17" i="24"/>
  <c r="H59" i="1"/>
  <c r="O104" i="23"/>
  <c r="B66" i="1"/>
  <c r="N66" i="1" s="1"/>
  <c r="H72" i="24"/>
  <c r="H124" i="24" s="1"/>
  <c r="H53" i="23"/>
  <c r="G5" i="1" s="1"/>
  <c r="H56" i="23"/>
  <c r="G7" i="1" s="1"/>
  <c r="H57" i="23"/>
  <c r="G9" i="1" s="1"/>
  <c r="H58" i="23"/>
  <c r="G8" i="1" s="1"/>
  <c r="H52" i="23"/>
  <c r="G4" i="1" s="1"/>
  <c r="H59" i="23"/>
  <c r="H55" i="23"/>
  <c r="G6" i="1" s="1"/>
  <c r="H60" i="23"/>
  <c r="G10" i="1" s="1"/>
  <c r="J54" i="1"/>
  <c r="K8" i="23"/>
  <c r="K28" i="24" s="1"/>
  <c r="K41" i="24" s="1"/>
  <c r="K8" i="24" s="1"/>
  <c r="D77" i="18"/>
  <c r="B81" i="18" s="1"/>
  <c r="E81" i="18" s="1"/>
  <c r="B71" i="18"/>
  <c r="D72" i="22"/>
  <c r="B76" i="22" s="1"/>
  <c r="E76" i="22" s="1"/>
  <c r="B66" i="22"/>
  <c r="F66" i="22" s="1"/>
  <c r="C5" i="23"/>
  <c r="O23" i="23"/>
  <c r="B51" i="1"/>
  <c r="L57" i="1"/>
  <c r="L141" i="1" s="1"/>
  <c r="L153" i="1" s="1"/>
  <c r="M61" i="23"/>
  <c r="L11" i="1" s="1"/>
  <c r="D54" i="1"/>
  <c r="I50" i="1"/>
  <c r="C51" i="1"/>
  <c r="J53" i="23"/>
  <c r="I5" i="1" s="1"/>
  <c r="G60" i="23"/>
  <c r="F10" i="1" s="1"/>
  <c r="G51" i="1"/>
  <c r="N17" i="24"/>
  <c r="N16" i="24"/>
  <c r="N19" i="24"/>
  <c r="M59" i="1"/>
  <c r="L5" i="23"/>
  <c r="L25" i="24" s="1"/>
  <c r="L38" i="24" s="1"/>
  <c r="K51" i="1"/>
  <c r="F4" i="23"/>
  <c r="F24" i="24" s="1"/>
  <c r="F37" i="24" s="1"/>
  <c r="E50" i="1"/>
  <c r="L53" i="1"/>
  <c r="L10" i="23"/>
  <c r="L30" i="24" s="1"/>
  <c r="L43" i="24" s="1"/>
  <c r="K56" i="1"/>
  <c r="O149" i="23"/>
  <c r="C96" i="1"/>
  <c r="N96" i="1" s="1"/>
  <c r="O125" i="23"/>
  <c r="B116" i="1"/>
  <c r="N116" i="1" s="1"/>
  <c r="I82" i="23"/>
  <c r="H16" i="1" s="1"/>
  <c r="H136" i="1" s="1"/>
  <c r="H148" i="1" s="1"/>
  <c r="I81" i="23"/>
  <c r="H15" i="1" s="1"/>
  <c r="H135" i="1" s="1"/>
  <c r="M91" i="1"/>
  <c r="O66" i="23"/>
  <c r="M81" i="1"/>
  <c r="B15" i="1"/>
  <c r="B7" i="1"/>
  <c r="G19" i="24"/>
  <c r="G16" i="24"/>
  <c r="F59" i="1"/>
  <c r="F89" i="23"/>
  <c r="C54" i="23"/>
  <c r="O54" i="23" s="1"/>
  <c r="E72" i="24"/>
  <c r="E124" i="24" s="1"/>
  <c r="E16" i="24" s="1"/>
  <c r="E57" i="23"/>
  <c r="D9" i="1" s="1"/>
  <c r="D138" i="1" s="1"/>
  <c r="D150" i="1" s="1"/>
  <c r="E56" i="23"/>
  <c r="D7" i="1" s="1"/>
  <c r="D137" i="1" s="1"/>
  <c r="D149" i="1" s="1"/>
  <c r="E55" i="23"/>
  <c r="D6" i="1" s="1"/>
  <c r="E60" i="23"/>
  <c r="D10" i="1" s="1"/>
  <c r="E52" i="23"/>
  <c r="D4" i="1" s="1"/>
  <c r="E59" i="23"/>
  <c r="E58" i="23"/>
  <c r="D8" i="1" s="1"/>
  <c r="E53" i="23"/>
  <c r="D5" i="1" s="1"/>
  <c r="K9" i="23"/>
  <c r="K29" i="24" s="1"/>
  <c r="K42" i="24" s="1"/>
  <c r="J55" i="1"/>
  <c r="O29" i="23"/>
  <c r="C11" i="23"/>
  <c r="B57" i="1"/>
  <c r="M10" i="23"/>
  <c r="M30" i="24" s="1"/>
  <c r="M43" i="24" s="1"/>
  <c r="M10" i="24" s="1"/>
  <c r="L56" i="1"/>
  <c r="L66" i="22"/>
  <c r="P66" i="22" s="1"/>
  <c r="N72" i="22"/>
  <c r="L76" i="22" s="1"/>
  <c r="O76" i="22" s="1"/>
  <c r="D52" i="1"/>
  <c r="E6" i="23"/>
  <c r="E26" i="24" s="1"/>
  <c r="E39" i="24" s="1"/>
  <c r="I57" i="1"/>
  <c r="I141" i="1" s="1"/>
  <c r="I153" i="1" s="1"/>
  <c r="C54" i="1"/>
  <c r="C137" i="1" s="1"/>
  <c r="C149" i="1" s="1"/>
  <c r="D23" i="7"/>
  <c r="D57" i="7"/>
  <c r="B60" i="7" s="1"/>
  <c r="J56" i="23"/>
  <c r="I7" i="1" s="1"/>
  <c r="G56" i="23"/>
  <c r="F7" i="1" s="1"/>
  <c r="F68" i="23"/>
  <c r="E34" i="1" s="1"/>
  <c r="F67" i="23"/>
  <c r="E33" i="1" s="1"/>
  <c r="O41" i="23"/>
  <c r="G57" i="1"/>
  <c r="G141" i="1" s="1"/>
  <c r="G153" i="1" s="1"/>
  <c r="H11" i="23"/>
  <c r="H31" i="24" s="1"/>
  <c r="H44" i="24" s="1"/>
  <c r="K53" i="1"/>
  <c r="F10" i="23"/>
  <c r="F30" i="24" s="1"/>
  <c r="F43" i="24" s="1"/>
  <c r="E56" i="1"/>
  <c r="E139" i="1" s="1"/>
  <c r="E151" i="1" s="1"/>
  <c r="B58" i="8"/>
  <c r="O148" i="23"/>
  <c r="B95" i="1"/>
  <c r="E136" i="1"/>
  <c r="E148" i="1" s="1"/>
  <c r="O31" i="23"/>
  <c r="B60" i="1"/>
  <c r="F101" i="1"/>
  <c r="O163" i="23"/>
  <c r="B74" i="1"/>
  <c r="I111" i="1"/>
  <c r="N78" i="1"/>
  <c r="L101" i="1"/>
  <c r="O164" i="23"/>
  <c r="L71" i="1"/>
  <c r="J101" i="1"/>
  <c r="J71" i="1"/>
  <c r="G111" i="1"/>
  <c r="G55" i="23"/>
  <c r="F6" i="1" s="1"/>
  <c r="L111" i="1"/>
  <c r="G8" i="23"/>
  <c r="G28" i="24" s="1"/>
  <c r="G41" i="24" s="1"/>
  <c r="F54" i="1"/>
  <c r="O165" i="23"/>
  <c r="B76" i="1"/>
  <c r="N76" i="1" s="1"/>
  <c r="O76" i="23"/>
  <c r="C55" i="23"/>
  <c r="G89" i="23"/>
  <c r="K10" i="23"/>
  <c r="K30" i="24" s="1"/>
  <c r="K43" i="24" s="1"/>
  <c r="K10" i="24" s="1"/>
  <c r="J56" i="1"/>
  <c r="L60" i="1"/>
  <c r="O28" i="23"/>
  <c r="B56" i="1"/>
  <c r="M9" i="23"/>
  <c r="M29" i="24" s="1"/>
  <c r="M42" i="24" s="1"/>
  <c r="M9" i="24" s="1"/>
  <c r="L55" i="1"/>
  <c r="K91" i="1"/>
  <c r="M68" i="23"/>
  <c r="L34" i="1" s="1"/>
  <c r="M67" i="23"/>
  <c r="L33" i="1" s="1"/>
  <c r="L40" i="1" s="1"/>
  <c r="L47" i="1" s="1"/>
  <c r="O87" i="23"/>
  <c r="B21" i="1"/>
  <c r="N21" i="1" s="1"/>
  <c r="E12" i="23"/>
  <c r="E32" i="24" s="1"/>
  <c r="E45" i="24" s="1"/>
  <c r="D58" i="1"/>
  <c r="J12" i="23"/>
  <c r="J32" i="24" s="1"/>
  <c r="J45" i="24" s="1"/>
  <c r="J12" i="24" s="1"/>
  <c r="I58" i="1"/>
  <c r="C53" i="1"/>
  <c r="M55" i="23"/>
  <c r="L6" i="1" s="1"/>
  <c r="J59" i="23"/>
  <c r="J11" i="23" s="1"/>
  <c r="J31" i="24" s="1"/>
  <c r="J44" i="24" s="1"/>
  <c r="J11" i="24" s="1"/>
  <c r="G72" i="24"/>
  <c r="G124" i="24" s="1"/>
  <c r="G18" i="24" s="1"/>
  <c r="M60" i="1"/>
  <c r="M142" i="1" s="1"/>
  <c r="M154" i="1" s="1"/>
  <c r="H6" i="23"/>
  <c r="H26" i="24" s="1"/>
  <c r="H39" i="24" s="1"/>
  <c r="G52" i="1"/>
  <c r="L8" i="23"/>
  <c r="L28" i="24" s="1"/>
  <c r="L41" i="24" s="1"/>
  <c r="K54" i="1"/>
  <c r="E60" i="1"/>
  <c r="B47" i="8"/>
  <c r="L73" i="21"/>
  <c r="O73" i="21" s="1"/>
  <c r="N79" i="21"/>
  <c r="L83" i="21" s="1"/>
  <c r="O83" i="21" s="1"/>
  <c r="C101" i="1"/>
  <c r="D91" i="1"/>
  <c r="N84" i="1"/>
  <c r="O136" i="23"/>
  <c r="B105" i="1"/>
  <c r="N105" i="1" s="1"/>
  <c r="F81" i="1"/>
  <c r="D101" i="1"/>
  <c r="I121" i="1"/>
  <c r="O111" i="23"/>
  <c r="O147" i="23"/>
  <c r="O84" i="23"/>
  <c r="B18" i="1"/>
  <c r="N18" i="1" s="1"/>
  <c r="L91" i="1"/>
  <c r="O43" i="23"/>
  <c r="N68" i="23"/>
  <c r="M34" i="1" s="1"/>
  <c r="N67" i="23"/>
  <c r="M33" i="1" s="1"/>
  <c r="M40" i="1" s="1"/>
  <c r="M47" i="1" s="1"/>
  <c r="L77" i="24"/>
  <c r="L129" i="24" s="1"/>
  <c r="L17" i="24" s="1"/>
  <c r="L72" i="23"/>
  <c r="K38" i="1" s="1"/>
  <c r="K140" i="1" s="1"/>
  <c r="K152" i="1" s="1"/>
  <c r="L69" i="23"/>
  <c r="K35" i="1" s="1"/>
  <c r="K137" i="1" s="1"/>
  <c r="K149" i="1" s="1"/>
  <c r="L70" i="23"/>
  <c r="K36" i="1" s="1"/>
  <c r="L64" i="23"/>
  <c r="L71" i="23"/>
  <c r="K37" i="1" s="1"/>
  <c r="K139" i="1" s="1"/>
  <c r="K151" i="1" s="1"/>
  <c r="M71" i="1"/>
  <c r="K11" i="23"/>
  <c r="K31" i="24" s="1"/>
  <c r="K44" i="24" s="1"/>
  <c r="J57" i="1"/>
  <c r="J141" i="1" s="1"/>
  <c r="J153" i="1" s="1"/>
  <c r="C18" i="24"/>
  <c r="B59" i="1"/>
  <c r="M8" i="23"/>
  <c r="M28" i="24" s="1"/>
  <c r="M41" i="24" s="1"/>
  <c r="L54" i="1"/>
  <c r="E12" i="1"/>
  <c r="D61" i="23"/>
  <c r="C11" i="1" s="1"/>
  <c r="B73" i="21"/>
  <c r="E73" i="21" s="1"/>
  <c r="D79" i="21"/>
  <c r="B83" i="21" s="1"/>
  <c r="E83" i="21" s="1"/>
  <c r="D51" i="1"/>
  <c r="J5" i="23"/>
  <c r="J25" i="24" s="1"/>
  <c r="J38" i="24" s="1"/>
  <c r="J5" i="24" s="1"/>
  <c r="I51" i="1"/>
  <c r="C60" i="1"/>
  <c r="M57" i="23"/>
  <c r="L9" i="1" s="1"/>
  <c r="L138" i="1" s="1"/>
  <c r="L150" i="1" s="1"/>
  <c r="J58" i="23"/>
  <c r="I8" i="1" s="1"/>
  <c r="I139" i="1" s="1"/>
  <c r="I151" i="1" s="1"/>
  <c r="D52" i="23"/>
  <c r="C4" i="1" s="1"/>
  <c r="D78" i="13"/>
  <c r="B82" i="13" s="1"/>
  <c r="B72" i="13"/>
  <c r="E72" i="13" s="1"/>
  <c r="N6" i="23"/>
  <c r="N26" i="24" s="1"/>
  <c r="N39" i="24" s="1"/>
  <c r="N6" i="24" s="1"/>
  <c r="M52" i="1"/>
  <c r="G50" i="1"/>
  <c r="L9" i="23"/>
  <c r="L29" i="24" s="1"/>
  <c r="L42" i="24" s="1"/>
  <c r="K55" i="1"/>
  <c r="F9" i="23"/>
  <c r="F29" i="24" s="1"/>
  <c r="F42" i="24" s="1"/>
  <c r="E55" i="1"/>
  <c r="E138" i="1" s="1"/>
  <c r="E150" i="1" s="1"/>
  <c r="B35" i="8"/>
  <c r="D12" i="8"/>
  <c r="F70" i="8"/>
  <c r="E12" i="8" s="1"/>
  <c r="D4" i="8"/>
  <c r="F23" i="8"/>
  <c r="E4" i="8" s="1"/>
  <c r="O86" i="23"/>
  <c r="B20" i="1"/>
  <c r="N20" i="1" s="1"/>
  <c r="O89" i="23"/>
  <c r="O53" i="23"/>
  <c r="B5" i="1"/>
  <c r="B68" i="14"/>
  <c r="B71" i="14" s="1"/>
  <c r="B50" i="14"/>
  <c r="B53" i="14" s="1"/>
  <c r="B74" i="14"/>
  <c r="B77" i="14" s="1"/>
  <c r="B44" i="14"/>
  <c r="B47" i="14" s="1"/>
  <c r="B32" i="14"/>
  <c r="B35" i="14" s="1"/>
  <c r="B20" i="14"/>
  <c r="B23" i="14" s="1"/>
  <c r="B62" i="14"/>
  <c r="B65" i="14" s="1"/>
  <c r="B26" i="14"/>
  <c r="B29" i="14" s="1"/>
  <c r="B56" i="14"/>
  <c r="B59" i="14" s="1"/>
  <c r="B38" i="14"/>
  <c r="B41" i="14" s="1"/>
  <c r="E11" i="23"/>
  <c r="E31" i="24" s="1"/>
  <c r="E44" i="24" s="1"/>
  <c r="D57" i="1"/>
  <c r="D141" i="1" s="1"/>
  <c r="D153" i="1" s="1"/>
  <c r="J10" i="23"/>
  <c r="J30" i="24" s="1"/>
  <c r="J43" i="24" s="1"/>
  <c r="I56" i="1"/>
  <c r="D6" i="23"/>
  <c r="D26" i="24" s="1"/>
  <c r="D39" i="24" s="1"/>
  <c r="C52" i="1"/>
  <c r="J57" i="23"/>
  <c r="I9" i="1" s="1"/>
  <c r="I138" i="1" s="1"/>
  <c r="I150" i="1" s="1"/>
  <c r="M111" i="1"/>
  <c r="B8" i="1"/>
  <c r="O40" i="23"/>
  <c r="B58" i="1"/>
  <c r="I5" i="23"/>
  <c r="I25" i="24" s="1"/>
  <c r="I38" i="24" s="1"/>
  <c r="I5" i="24" s="1"/>
  <c r="H51" i="1"/>
  <c r="J60" i="1"/>
  <c r="L71" i="18"/>
  <c r="N77" i="18"/>
  <c r="L81" i="18" s="1"/>
  <c r="O81" i="18" s="1"/>
  <c r="L129" i="23"/>
  <c r="K120" i="1" s="1"/>
  <c r="M129" i="23"/>
  <c r="L120" i="1" s="1"/>
  <c r="K129" i="23"/>
  <c r="J120" i="1" s="1"/>
  <c r="J129" i="23"/>
  <c r="I120" i="1" s="1"/>
  <c r="G129" i="23"/>
  <c r="F120" i="1" s="1"/>
  <c r="F129" i="23"/>
  <c r="E120" i="1" s="1"/>
  <c r="E129" i="23"/>
  <c r="D120" i="1" s="1"/>
  <c r="N129" i="23"/>
  <c r="M120" i="1" s="1"/>
  <c r="I129" i="23"/>
  <c r="H120" i="1" s="1"/>
  <c r="D129" i="23"/>
  <c r="C120" i="1" s="1"/>
  <c r="C129" i="23"/>
  <c r="H129" i="23"/>
  <c r="G120" i="1" s="1"/>
  <c r="B75" i="19"/>
  <c r="E75" i="19" s="1"/>
  <c r="M19" i="24"/>
  <c r="M18" i="24"/>
  <c r="M20" i="24"/>
  <c r="M17" i="24"/>
  <c r="M16" i="24"/>
  <c r="L59" i="1"/>
  <c r="B4" i="1"/>
  <c r="E67" i="23"/>
  <c r="D33" i="1" s="1"/>
  <c r="D40" i="1" s="1"/>
  <c r="D47" i="1" s="1"/>
  <c r="E68" i="23"/>
  <c r="D34" i="1" s="1"/>
  <c r="G61" i="23"/>
  <c r="F11" i="1" s="1"/>
  <c r="X72" i="22"/>
  <c r="V66" i="22"/>
  <c r="Z66" i="22" s="1"/>
  <c r="D60" i="1"/>
  <c r="D142" i="1" s="1"/>
  <c r="D154" i="1" s="1"/>
  <c r="J13" i="23"/>
  <c r="J33" i="24" s="1"/>
  <c r="J46" i="24" s="1"/>
  <c r="J13" i="24" s="1"/>
  <c r="I60" i="1"/>
  <c r="C58" i="1"/>
  <c r="J52" i="23"/>
  <c r="I4" i="1" s="1"/>
  <c r="M53" i="1"/>
  <c r="H8" i="23"/>
  <c r="H28" i="24" s="1"/>
  <c r="H41" i="24" s="1"/>
  <c r="H8" i="24" s="1"/>
  <c r="G54" i="1"/>
  <c r="L11" i="23"/>
  <c r="L31" i="24" s="1"/>
  <c r="L44" i="24" s="1"/>
  <c r="K57" i="1"/>
  <c r="K141" i="1" s="1"/>
  <c r="K153" i="1" s="1"/>
  <c r="E53" i="1"/>
  <c r="O126" i="23"/>
  <c r="B117" i="1"/>
  <c r="N117" i="1" s="1"/>
  <c r="O168" i="23"/>
  <c r="C79" i="1"/>
  <c r="N79" i="1" s="1"/>
  <c r="O116" i="23"/>
  <c r="B89" i="1"/>
  <c r="N89" i="1" s="1"/>
  <c r="H101" i="1"/>
  <c r="E71" i="1"/>
  <c r="F121" i="1"/>
  <c r="K22" i="1"/>
  <c r="K30" i="1" s="1"/>
  <c r="O83" i="23"/>
  <c r="B17" i="1"/>
  <c r="N17" i="1" s="1"/>
  <c r="J55" i="23"/>
  <c r="I6" i="1" s="1"/>
  <c r="O59" i="23"/>
  <c r="C121" i="1"/>
  <c r="O37" i="23"/>
  <c r="K117" i="23"/>
  <c r="J90" i="1" s="1"/>
  <c r="C117" i="23"/>
  <c r="N117" i="23"/>
  <c r="M90" i="1" s="1"/>
  <c r="J117" i="23"/>
  <c r="I90" i="1" s="1"/>
  <c r="I127" i="1" s="1"/>
  <c r="I129" i="1" s="1"/>
  <c r="I117" i="23"/>
  <c r="H90" i="1" s="1"/>
  <c r="L117" i="23"/>
  <c r="K90" i="1" s="1"/>
  <c r="H117" i="23"/>
  <c r="G90" i="1" s="1"/>
  <c r="E117" i="23"/>
  <c r="D90" i="1" s="1"/>
  <c r="D117" i="23"/>
  <c r="C90" i="1" s="1"/>
  <c r="G117" i="23"/>
  <c r="F90" i="1" s="1"/>
  <c r="F117" i="23"/>
  <c r="E90" i="1" s="1"/>
  <c r="E142" i="1" s="1"/>
  <c r="E154" i="1" s="1"/>
  <c r="M117" i="23"/>
  <c r="L90" i="1" s="1"/>
  <c r="D77" i="24"/>
  <c r="D129" i="24" s="1"/>
  <c r="D71" i="23"/>
  <c r="C37" i="1" s="1"/>
  <c r="C139" i="1" s="1"/>
  <c r="C151" i="1" s="1"/>
  <c r="D72" i="23"/>
  <c r="C38" i="1" s="1"/>
  <c r="D64" i="23"/>
  <c r="D70" i="23"/>
  <c r="C36" i="1" s="1"/>
  <c r="D69" i="23"/>
  <c r="C35" i="1" s="1"/>
  <c r="H50" i="1"/>
  <c r="K6" i="23"/>
  <c r="K26" i="24" s="1"/>
  <c r="K39" i="24" s="1"/>
  <c r="K6" i="24" s="1"/>
  <c r="J52" i="1"/>
  <c r="D56" i="24"/>
  <c r="C56" i="24"/>
  <c r="K56" i="24"/>
  <c r="I56" i="24"/>
  <c r="F56" i="24"/>
  <c r="N56" i="24"/>
  <c r="E56" i="24"/>
  <c r="M56" i="24"/>
  <c r="L56" i="24"/>
  <c r="J56" i="24"/>
  <c r="H56" i="24"/>
  <c r="G56" i="24"/>
  <c r="F55" i="1"/>
  <c r="O44" i="23"/>
  <c r="O45" i="23" s="1"/>
  <c r="E137" i="1"/>
  <c r="E149" i="1" s="1"/>
  <c r="F18" i="10"/>
  <c r="E18" i="24"/>
  <c r="E19" i="24"/>
  <c r="D59" i="1"/>
  <c r="J6" i="23"/>
  <c r="J26" i="24" s="1"/>
  <c r="J39" i="24" s="1"/>
  <c r="I52" i="1"/>
  <c r="C50" i="1"/>
  <c r="C61" i="1" s="1"/>
  <c r="L137" i="1"/>
  <c r="L149" i="1" s="1"/>
  <c r="J72" i="24"/>
  <c r="J124" i="24" s="1"/>
  <c r="D60" i="23"/>
  <c r="C10" i="1" s="1"/>
  <c r="M51" i="1"/>
  <c r="N5" i="23"/>
  <c r="N25" i="24" s="1"/>
  <c r="N38" i="24" s="1"/>
  <c r="G60" i="1"/>
  <c r="G127" i="1" s="1"/>
  <c r="G129" i="1" s="1"/>
  <c r="K58" i="1"/>
  <c r="F6" i="23"/>
  <c r="F26" i="24" s="1"/>
  <c r="F39" i="24" s="1"/>
  <c r="F6" i="24" s="1"/>
  <c r="E52" i="1"/>
  <c r="B68" i="5"/>
  <c r="B71" i="5" s="1"/>
  <c r="B56" i="5"/>
  <c r="B59" i="5" s="1"/>
  <c r="B44" i="5"/>
  <c r="B47" i="5" s="1"/>
  <c r="B32" i="5"/>
  <c r="B35" i="5" s="1"/>
  <c r="B20" i="5"/>
  <c r="B23" i="5" s="1"/>
  <c r="B62" i="5"/>
  <c r="B65" i="5" s="1"/>
  <c r="B26" i="5"/>
  <c r="B29" i="5" s="1"/>
  <c r="B38" i="5"/>
  <c r="B41" i="5" s="1"/>
  <c r="B50" i="5"/>
  <c r="B53" i="5" s="1"/>
  <c r="B74" i="5"/>
  <c r="B77" i="5" s="1"/>
  <c r="F29" i="8"/>
  <c r="E5" i="8" s="1"/>
  <c r="D5" i="8"/>
  <c r="D111" i="1"/>
  <c r="N77" i="1"/>
  <c r="O113" i="23"/>
  <c r="B86" i="1"/>
  <c r="O124" i="23"/>
  <c r="B115" i="1"/>
  <c r="N115" i="1" s="1"/>
  <c r="H121" i="1"/>
  <c r="O102" i="23"/>
  <c r="B69" i="1"/>
  <c r="N69" i="1" s="1"/>
  <c r="F81" i="23"/>
  <c r="E15" i="1" s="1"/>
  <c r="E135" i="1" s="1"/>
  <c r="F82" i="23"/>
  <c r="E16" i="1" s="1"/>
  <c r="D82" i="23"/>
  <c r="C16" i="1" s="1"/>
  <c r="D81" i="23"/>
  <c r="C15" i="1" s="1"/>
  <c r="C22" i="1" s="1"/>
  <c r="C30" i="1" s="1"/>
  <c r="O36" i="23"/>
  <c r="I10" i="23"/>
  <c r="I30" i="24" s="1"/>
  <c r="I43" i="24" s="1"/>
  <c r="I10" i="24" s="1"/>
  <c r="H56" i="1"/>
  <c r="H139" i="1" s="1"/>
  <c r="H151" i="1" s="1"/>
  <c r="K20" i="24"/>
  <c r="K19" i="24"/>
  <c r="K18" i="24"/>
  <c r="K17" i="24"/>
  <c r="K16" i="24"/>
  <c r="J59" i="1"/>
  <c r="D52" i="24"/>
  <c r="C52" i="24"/>
  <c r="M52" i="24"/>
  <c r="J52" i="24"/>
  <c r="H52" i="24"/>
  <c r="G52" i="24"/>
  <c r="F52" i="24"/>
  <c r="N52" i="24"/>
  <c r="L52" i="24"/>
  <c r="E52" i="24"/>
  <c r="K52" i="24"/>
  <c r="I52" i="24"/>
  <c r="O25" i="23"/>
  <c r="B53" i="1"/>
  <c r="C57" i="23"/>
  <c r="C77" i="24"/>
  <c r="C129" i="24" s="1"/>
  <c r="C70" i="23"/>
  <c r="C72" i="23"/>
  <c r="C64" i="23"/>
  <c r="O63" i="23"/>
  <c r="C69" i="23"/>
  <c r="C8" i="23" s="1"/>
  <c r="C71" i="23"/>
  <c r="J7" i="23"/>
  <c r="J27" i="24" s="1"/>
  <c r="J40" i="24" s="1"/>
  <c r="I53" i="1"/>
  <c r="D11" i="23"/>
  <c r="D31" i="24" s="1"/>
  <c r="D44" i="24" s="1"/>
  <c r="C57" i="1"/>
  <c r="C141" i="1" s="1"/>
  <c r="C153" i="1" s="1"/>
  <c r="M58" i="23"/>
  <c r="L8" i="1" s="1"/>
  <c r="L139" i="1" s="1"/>
  <c r="L151" i="1" s="1"/>
  <c r="G57" i="23"/>
  <c r="F9" i="1" s="1"/>
  <c r="F138" i="1" s="1"/>
  <c r="F150" i="1" s="1"/>
  <c r="D53" i="23"/>
  <c r="C5" i="1" s="1"/>
  <c r="K4" i="23"/>
  <c r="K24" i="24" s="1"/>
  <c r="K37" i="24" s="1"/>
  <c r="K4" i="24" s="1"/>
  <c r="J50" i="1"/>
  <c r="M58" i="1"/>
  <c r="G53" i="1"/>
  <c r="L13" i="23"/>
  <c r="L33" i="24" s="1"/>
  <c r="L46" i="24" s="1"/>
  <c r="K60" i="1"/>
  <c r="F12" i="23"/>
  <c r="F32" i="24" s="1"/>
  <c r="F45" i="24" s="1"/>
  <c r="E58" i="1"/>
  <c r="E140" i="1" s="1"/>
  <c r="E152" i="1" s="1"/>
  <c r="B41" i="8"/>
  <c r="I11" i="23"/>
  <c r="I31" i="24" s="1"/>
  <c r="I44" i="24" s="1"/>
  <c r="I11" i="24" s="1"/>
  <c r="H57" i="1"/>
  <c r="H141" i="1" s="1"/>
  <c r="H153" i="1" s="1"/>
  <c r="D71" i="19"/>
  <c r="B64" i="19"/>
  <c r="E64" i="19" s="1"/>
  <c r="B97" i="1"/>
  <c r="N97" i="1" s="1"/>
  <c r="O150" i="23"/>
  <c r="E101" i="1"/>
  <c r="M82" i="23"/>
  <c r="L16" i="1" s="1"/>
  <c r="M81" i="23"/>
  <c r="L15" i="1" s="1"/>
  <c r="L135" i="1" s="1"/>
  <c r="G81" i="1"/>
  <c r="I22" i="1"/>
  <c r="I30" i="1" s="1"/>
  <c r="M101" i="1"/>
  <c r="O99" i="23"/>
  <c r="B64" i="1"/>
  <c r="K81" i="1"/>
  <c r="G81" i="23"/>
  <c r="F15" i="1" s="1"/>
  <c r="G82" i="23"/>
  <c r="F16" i="1" s="1"/>
  <c r="E81" i="23"/>
  <c r="D15" i="1" s="1"/>
  <c r="E82" i="23"/>
  <c r="D16" i="1" s="1"/>
  <c r="O138" i="23"/>
  <c r="B107" i="1"/>
  <c r="N107" i="1" s="1"/>
  <c r="M22" i="1"/>
  <c r="M30" i="1" s="1"/>
  <c r="F60" i="1"/>
  <c r="O128" i="23"/>
  <c r="B119" i="1"/>
  <c r="N119" i="1" s="1"/>
  <c r="M53" i="16"/>
  <c r="Q53" i="16" s="1"/>
  <c r="I8" i="23"/>
  <c r="I28" i="24" s="1"/>
  <c r="I41" i="24" s="1"/>
  <c r="I8" i="24" s="1"/>
  <c r="H54" i="1"/>
  <c r="H137" i="1" s="1"/>
  <c r="H149" i="1" s="1"/>
  <c r="O103" i="23"/>
  <c r="B70" i="1"/>
  <c r="N70" i="1" s="1"/>
  <c r="J53" i="1"/>
  <c r="K68" i="23"/>
  <c r="J34" i="1" s="1"/>
  <c r="K67" i="23"/>
  <c r="J33" i="1" s="1"/>
  <c r="J40" i="1" s="1"/>
  <c r="J47" i="1" s="1"/>
  <c r="B32" i="13"/>
  <c r="E32" i="13" s="1"/>
  <c r="G5" i="23"/>
  <c r="G25" i="24" s="1"/>
  <c r="G38" i="24" s="1"/>
  <c r="F51" i="1"/>
  <c r="H138" i="1"/>
  <c r="H150" i="1" s="1"/>
  <c r="I68" i="23"/>
  <c r="H34" i="1" s="1"/>
  <c r="I67" i="23"/>
  <c r="H33" i="1" s="1"/>
  <c r="H40" i="1" s="1"/>
  <c r="H47" i="1" s="1"/>
  <c r="K61" i="23"/>
  <c r="J11" i="1" s="1"/>
  <c r="E7" i="23"/>
  <c r="E27" i="24" s="1"/>
  <c r="E40" i="24" s="1"/>
  <c r="D53" i="1"/>
  <c r="J8" i="23"/>
  <c r="J28" i="24" s="1"/>
  <c r="J41" i="24" s="1"/>
  <c r="I54" i="1"/>
  <c r="D16" i="24"/>
  <c r="D20" i="24"/>
  <c r="D19" i="24"/>
  <c r="D18" i="24"/>
  <c r="D17" i="24"/>
  <c r="C59" i="1"/>
  <c r="M59" i="23"/>
  <c r="M11" i="23" s="1"/>
  <c r="M31" i="24" s="1"/>
  <c r="M44" i="24" s="1"/>
  <c r="M11" i="24" s="1"/>
  <c r="G53" i="23"/>
  <c r="F5" i="1" s="1"/>
  <c r="D55" i="23"/>
  <c r="C6" i="1" s="1"/>
  <c r="M56" i="1"/>
  <c r="H12" i="23"/>
  <c r="H32" i="24" s="1"/>
  <c r="H45" i="24" s="1"/>
  <c r="H12" i="24" s="1"/>
  <c r="G58" i="1"/>
  <c r="N94" i="1"/>
  <c r="L6" i="23"/>
  <c r="L26" i="24" s="1"/>
  <c r="L39" i="24" s="1"/>
  <c r="L6" i="24" s="1"/>
  <c r="K52" i="1"/>
  <c r="F20" i="24"/>
  <c r="F19" i="24"/>
  <c r="F18" i="24"/>
  <c r="F17" i="24"/>
  <c r="F16" i="24"/>
  <c r="E59" i="1"/>
  <c r="B52" i="8"/>
  <c r="J58" i="1"/>
  <c r="M4" i="23"/>
  <c r="M24" i="24" s="1"/>
  <c r="M37" i="24" s="1"/>
  <c r="M4" i="24" s="1"/>
  <c r="L50" i="1"/>
  <c r="M57" i="1"/>
  <c r="M141" i="1" s="1"/>
  <c r="M153" i="1" s="1"/>
  <c r="O115" i="23"/>
  <c r="B88" i="1"/>
  <c r="N88" i="1" s="1"/>
  <c r="O88" i="23"/>
  <c r="H81" i="1"/>
  <c r="O137" i="23"/>
  <c r="B106" i="1"/>
  <c r="N106" i="1" s="1"/>
  <c r="O39" i="23"/>
  <c r="K55" i="23"/>
  <c r="J6" i="1" s="1"/>
  <c r="J136" i="1" s="1"/>
  <c r="J148" i="1" s="1"/>
  <c r="G7" i="23"/>
  <c r="G27" i="24" s="1"/>
  <c r="G40" i="24" s="1"/>
  <c r="G7" i="24" s="1"/>
  <c r="F53" i="1"/>
  <c r="O127" i="23"/>
  <c r="B118" i="1"/>
  <c r="N118" i="1" s="1"/>
  <c r="V76" i="22"/>
  <c r="Y76" i="22" s="1"/>
  <c r="C169" i="23"/>
  <c r="H60" i="1"/>
  <c r="H142" i="1" s="1"/>
  <c r="H154" i="1" s="1"/>
  <c r="O26" i="23"/>
  <c r="B54" i="1"/>
  <c r="L52" i="1"/>
  <c r="M6" i="23"/>
  <c r="M26" i="24" s="1"/>
  <c r="M39" i="24" s="1"/>
  <c r="M6" i="24" s="1"/>
  <c r="K138" i="1"/>
  <c r="K150" i="1" s="1"/>
  <c r="D55" i="1"/>
  <c r="J17" i="24"/>
  <c r="J20" i="24"/>
  <c r="J16" i="24"/>
  <c r="J19" i="24"/>
  <c r="J18" i="24"/>
  <c r="I59" i="1"/>
  <c r="I12" i="23"/>
  <c r="I32" i="24" s="1"/>
  <c r="I45" i="24" s="1"/>
  <c r="I12" i="24" s="1"/>
  <c r="H58" i="1"/>
  <c r="H140" i="1" s="1"/>
  <c r="H152" i="1" s="1"/>
  <c r="M60" i="23"/>
  <c r="L10" i="1" s="1"/>
  <c r="L12" i="1" s="1"/>
  <c r="G52" i="23"/>
  <c r="F4" i="1" s="1"/>
  <c r="D57" i="23"/>
  <c r="C9" i="1" s="1"/>
  <c r="M50" i="1"/>
  <c r="G56" i="1"/>
  <c r="L20" i="24"/>
  <c r="L18" i="24"/>
  <c r="L19" i="24"/>
  <c r="K59" i="1"/>
  <c r="L73" i="23"/>
  <c r="K39" i="1" s="1"/>
  <c r="K127" i="1" s="1"/>
  <c r="K129" i="1" s="1"/>
  <c r="B64" i="8"/>
  <c r="O153" i="23"/>
  <c r="B100" i="1"/>
  <c r="N100" i="1" s="1"/>
  <c r="O27" i="23"/>
  <c r="B55" i="1"/>
  <c r="N55" i="1" s="1"/>
  <c r="G68" i="23"/>
  <c r="F34" i="1" s="1"/>
  <c r="G67" i="23"/>
  <c r="F33" i="1" s="1"/>
  <c r="F40" i="1" s="1"/>
  <c r="F47" i="1" s="1"/>
  <c r="H9" i="23"/>
  <c r="H29" i="24" s="1"/>
  <c r="H42" i="24" s="1"/>
  <c r="H9" i="24" s="1"/>
  <c r="G55" i="1"/>
  <c r="E121" i="1"/>
  <c r="H111" i="1"/>
  <c r="J121" i="1"/>
  <c r="O151" i="23"/>
  <c r="O167" i="23"/>
  <c r="O101" i="23"/>
  <c r="B67" i="1"/>
  <c r="N67" i="1" s="1"/>
  <c r="I81" i="1"/>
  <c r="O152" i="23"/>
  <c r="B99" i="1"/>
  <c r="N99" i="1" s="1"/>
  <c r="G91" i="1"/>
  <c r="O100" i="23"/>
  <c r="B65" i="1"/>
  <c r="N65" i="1" s="1"/>
  <c r="J81" i="1"/>
  <c r="E89" i="23"/>
  <c r="O140" i="23"/>
  <c r="B109" i="1"/>
  <c r="N109" i="1" s="1"/>
  <c r="G10" i="23"/>
  <c r="G30" i="24" s="1"/>
  <c r="G43" i="24" s="1"/>
  <c r="F56" i="1"/>
  <c r="G12" i="23"/>
  <c r="G32" i="24" s="1"/>
  <c r="G45" i="24" s="1"/>
  <c r="G12" i="24" s="1"/>
  <c r="F58" i="1"/>
  <c r="O123" i="23"/>
  <c r="B114" i="1"/>
  <c r="M45" i="16"/>
  <c r="Q45" i="16" s="1"/>
  <c r="H67" i="23"/>
  <c r="G33" i="1" s="1"/>
  <c r="H68" i="23"/>
  <c r="G34" i="1" s="1"/>
  <c r="H53" i="1"/>
  <c r="N72" i="24"/>
  <c r="N124" i="24" s="1"/>
  <c r="N18" i="24" s="1"/>
  <c r="N60" i="23"/>
  <c r="M10" i="1" s="1"/>
  <c r="M140" i="1" s="1"/>
  <c r="M152" i="1" s="1"/>
  <c r="N59" i="23"/>
  <c r="N11" i="23" s="1"/>
  <c r="N31" i="24" s="1"/>
  <c r="N44" i="24" s="1"/>
  <c r="N56" i="23"/>
  <c r="M7" i="1" s="1"/>
  <c r="M137" i="1" s="1"/>
  <c r="M149" i="1" s="1"/>
  <c r="N52" i="23"/>
  <c r="M4" i="1" s="1"/>
  <c r="N55" i="23"/>
  <c r="M6" i="1" s="1"/>
  <c r="M136" i="1" s="1"/>
  <c r="M148" i="1" s="1"/>
  <c r="N58" i="23"/>
  <c r="M8" i="1" s="1"/>
  <c r="M139" i="1" s="1"/>
  <c r="M151" i="1" s="1"/>
  <c r="N53" i="23"/>
  <c r="M5" i="1" s="1"/>
  <c r="N57" i="23"/>
  <c r="M9" i="1" s="1"/>
  <c r="M138" i="1" s="1"/>
  <c r="M150" i="1" s="1"/>
  <c r="D28" i="11"/>
  <c r="B32" i="11" s="1"/>
  <c r="D80" i="11"/>
  <c r="B84" i="11" s="1"/>
  <c r="D70" i="11"/>
  <c r="B74" i="11" s="1"/>
  <c r="D38" i="11"/>
  <c r="B42" i="11" s="1"/>
  <c r="D60" i="11"/>
  <c r="B64" i="11" s="1"/>
  <c r="D50" i="11"/>
  <c r="B54" i="11" s="1"/>
  <c r="D18" i="11"/>
  <c r="B22" i="11" s="1"/>
  <c r="E91" i="1"/>
  <c r="C6" i="23"/>
  <c r="O24" i="23"/>
  <c r="B52" i="1"/>
  <c r="M12" i="23"/>
  <c r="M32" i="24" s="1"/>
  <c r="M45" i="24" s="1"/>
  <c r="M12" i="24" s="1"/>
  <c r="L58" i="1"/>
  <c r="B50" i="1"/>
  <c r="O22" i="23"/>
  <c r="K12" i="1"/>
  <c r="H12" i="1"/>
  <c r="C61" i="23"/>
  <c r="D50" i="1"/>
  <c r="B62" i="4"/>
  <c r="B65" i="4" s="1"/>
  <c r="B74" i="4"/>
  <c r="B77" i="4" s="1"/>
  <c r="B20" i="4"/>
  <c r="B23" i="4" s="1"/>
  <c r="B44" i="4"/>
  <c r="B47" i="4" s="1"/>
  <c r="B56" i="4"/>
  <c r="B59" i="4" s="1"/>
  <c r="B68" i="4"/>
  <c r="B71" i="4" s="1"/>
  <c r="B26" i="4"/>
  <c r="B29" i="4" s="1"/>
  <c r="B32" i="4"/>
  <c r="B35" i="4" s="1"/>
  <c r="B38" i="4"/>
  <c r="B41" i="4" s="1"/>
  <c r="B50" i="4"/>
  <c r="B53" i="4" s="1"/>
  <c r="D10" i="23"/>
  <c r="D30" i="24" s="1"/>
  <c r="D43" i="24" s="1"/>
  <c r="C56" i="1"/>
  <c r="I6" i="23"/>
  <c r="I26" i="24" s="1"/>
  <c r="I39" i="24" s="1"/>
  <c r="I6" i="24" s="1"/>
  <c r="H52" i="1"/>
  <c r="M78" i="13"/>
  <c r="K82" i="13" s="1"/>
  <c r="J72" i="13"/>
  <c r="M72" i="13" s="1"/>
  <c r="M55" i="1"/>
  <c r="H19" i="24"/>
  <c r="H18" i="24"/>
  <c r="H20" i="24"/>
  <c r="H16" i="24"/>
  <c r="H17" i="24"/>
  <c r="G59" i="1"/>
  <c r="F11" i="23"/>
  <c r="F31" i="24" s="1"/>
  <c r="F44" i="24" s="1"/>
  <c r="F11" i="24" s="1"/>
  <c r="E57" i="1"/>
  <c r="E141" i="1" s="1"/>
  <c r="E153" i="1" s="1"/>
  <c r="C73" i="23"/>
  <c r="B68" i="9"/>
  <c r="B71" i="9" s="1"/>
  <c r="B38" i="9"/>
  <c r="B41" i="9" s="1"/>
  <c r="B50" i="9"/>
  <c r="B53" i="9" s="1"/>
  <c r="B20" i="9"/>
  <c r="B23" i="9" s="1"/>
  <c r="B62" i="9"/>
  <c r="B65" i="9" s="1"/>
  <c r="B32" i="9"/>
  <c r="B35" i="9" s="1"/>
  <c r="B74" i="9"/>
  <c r="B77" i="9" s="1"/>
  <c r="B44" i="9"/>
  <c r="B47" i="9" s="1"/>
  <c r="B56" i="9"/>
  <c r="B59" i="9" s="1"/>
  <c r="B26" i="9"/>
  <c r="B29" i="9" s="1"/>
  <c r="B76" i="8"/>
  <c r="C28" i="24" l="1"/>
  <c r="C32" i="24"/>
  <c r="O12" i="23"/>
  <c r="H143" i="1"/>
  <c r="H147" i="1"/>
  <c r="H155" i="1" s="1"/>
  <c r="E147" i="1"/>
  <c r="E155" i="1" s="1"/>
  <c r="E143" i="1"/>
  <c r="L143" i="1"/>
  <c r="L147" i="1"/>
  <c r="F23" i="5"/>
  <c r="E4" i="5" s="1"/>
  <c r="D4" i="5"/>
  <c r="E20" i="24"/>
  <c r="H61" i="1"/>
  <c r="I136" i="1"/>
  <c r="I148" i="1" s="1"/>
  <c r="O129" i="23"/>
  <c r="B120" i="1"/>
  <c r="N120" i="1" s="1"/>
  <c r="D6" i="24"/>
  <c r="D13" i="14"/>
  <c r="F77" i="14"/>
  <c r="E13" i="14" s="1"/>
  <c r="F35" i="8"/>
  <c r="E6" i="8" s="1"/>
  <c r="D6" i="8"/>
  <c r="L136" i="1"/>
  <c r="L148" i="1" s="1"/>
  <c r="N95" i="1"/>
  <c r="B101" i="1"/>
  <c r="E40" i="1"/>
  <c r="E47" i="1" s="1"/>
  <c r="L5" i="24"/>
  <c r="C25" i="24"/>
  <c r="G138" i="1"/>
  <c r="G150" i="1" s="1"/>
  <c r="D9" i="23"/>
  <c r="D29" i="24" s="1"/>
  <c r="D42" i="24" s="1"/>
  <c r="D9" i="24" s="1"/>
  <c r="D13" i="4"/>
  <c r="F77" i="4"/>
  <c r="E13" i="4" s="1"/>
  <c r="L140" i="1"/>
  <c r="L152" i="1" s="1"/>
  <c r="N101" i="1"/>
  <c r="F65" i="5"/>
  <c r="E11" i="5" s="1"/>
  <c r="D11" i="5"/>
  <c r="F47" i="14"/>
  <c r="E8" i="14" s="1"/>
  <c r="D8" i="14"/>
  <c r="E124" i="1"/>
  <c r="E126" i="1" s="1"/>
  <c r="N52" i="1"/>
  <c r="L16" i="24"/>
  <c r="N86" i="1"/>
  <c r="B91" i="1"/>
  <c r="D6" i="5"/>
  <c r="F35" i="5"/>
  <c r="E6" i="5" s="1"/>
  <c r="C140" i="1"/>
  <c r="C152" i="1" s="1"/>
  <c r="E17" i="24"/>
  <c r="I4" i="23"/>
  <c r="I24" i="24" s="1"/>
  <c r="I37" i="24" s="1"/>
  <c r="I4" i="24" s="1"/>
  <c r="D9" i="14"/>
  <c r="F53" i="14"/>
  <c r="E9" i="14" s="1"/>
  <c r="L68" i="23"/>
  <c r="L67" i="23"/>
  <c r="F47" i="8"/>
  <c r="E8" i="8" s="1"/>
  <c r="D8" i="8"/>
  <c r="B6" i="1"/>
  <c r="O55" i="23"/>
  <c r="D135" i="1"/>
  <c r="D12" i="1"/>
  <c r="G20" i="24"/>
  <c r="D5" i="23"/>
  <c r="D25" i="24" s="1"/>
  <c r="D38" i="24" s="1"/>
  <c r="D5" i="24" s="1"/>
  <c r="G137" i="1"/>
  <c r="G149" i="1" s="1"/>
  <c r="F5" i="23"/>
  <c r="F25" i="24" s="1"/>
  <c r="F38" i="24" s="1"/>
  <c r="F5" i="24" s="1"/>
  <c r="J9" i="23"/>
  <c r="J29" i="24" s="1"/>
  <c r="J42" i="24" s="1"/>
  <c r="J9" i="24" s="1"/>
  <c r="K5" i="23"/>
  <c r="K25" i="24" s="1"/>
  <c r="K38" i="24" s="1"/>
  <c r="K5" i="24" s="1"/>
  <c r="G6" i="24"/>
  <c r="N16" i="1"/>
  <c r="F76" i="8"/>
  <c r="E13" i="8" s="1"/>
  <c r="D13" i="8"/>
  <c r="F135" i="1"/>
  <c r="F12" i="1"/>
  <c r="D5" i="9"/>
  <c r="F29" i="9"/>
  <c r="E5" i="9" s="1"/>
  <c r="D11" i="4"/>
  <c r="F65" i="4"/>
  <c r="E11" i="4" s="1"/>
  <c r="G40" i="1"/>
  <c r="G47" i="1" s="1"/>
  <c r="N5" i="24"/>
  <c r="G139" i="1"/>
  <c r="G151" i="1" s="1"/>
  <c r="F59" i="9"/>
  <c r="E10" i="9" s="1"/>
  <c r="D10" i="9"/>
  <c r="D61" i="1"/>
  <c r="N114" i="1"/>
  <c r="N121" i="1" s="1"/>
  <c r="B121" i="1"/>
  <c r="N54" i="1"/>
  <c r="K12" i="23"/>
  <c r="K32" i="24" s="1"/>
  <c r="K45" i="24" s="1"/>
  <c r="K12" i="24" s="1"/>
  <c r="F77" i="9"/>
  <c r="E13" i="9" s="1"/>
  <c r="D13" i="9"/>
  <c r="D9" i="4"/>
  <c r="F53" i="4"/>
  <c r="E9" i="4" s="1"/>
  <c r="O61" i="23"/>
  <c r="B11" i="1"/>
  <c r="F52" i="8"/>
  <c r="E9" i="8" s="1"/>
  <c r="D9" i="8"/>
  <c r="J8" i="24"/>
  <c r="F12" i="24"/>
  <c r="O57" i="23"/>
  <c r="B9" i="1"/>
  <c r="F47" i="5"/>
  <c r="E8" i="5" s="1"/>
  <c r="D8" i="5"/>
  <c r="F7" i="23"/>
  <c r="F27" i="24" s="1"/>
  <c r="F40" i="24" s="1"/>
  <c r="F7" i="24" s="1"/>
  <c r="D12" i="23"/>
  <c r="D32" i="24" s="1"/>
  <c r="D45" i="24" s="1"/>
  <c r="D12" i="24" s="1"/>
  <c r="N4" i="1"/>
  <c r="K13" i="23"/>
  <c r="K33" i="24" s="1"/>
  <c r="K46" i="24" s="1"/>
  <c r="K13" i="24" s="1"/>
  <c r="J10" i="24"/>
  <c r="F71" i="14"/>
  <c r="E12" i="14" s="1"/>
  <c r="D12" i="14"/>
  <c r="F9" i="24"/>
  <c r="M8" i="24"/>
  <c r="F13" i="23"/>
  <c r="F33" i="24" s="1"/>
  <c r="F46" i="24" s="1"/>
  <c r="F13" i="24" s="1"/>
  <c r="D7" i="23"/>
  <c r="D27" i="24" s="1"/>
  <c r="D40" i="24" s="1"/>
  <c r="D7" i="24" s="1"/>
  <c r="D127" i="1"/>
  <c r="D129" i="1" s="1"/>
  <c r="F137" i="1"/>
  <c r="F149" i="1" s="1"/>
  <c r="D140" i="1"/>
  <c r="D152" i="1" s="1"/>
  <c r="G17" i="24"/>
  <c r="N20" i="24"/>
  <c r="N11" i="24" s="1"/>
  <c r="I61" i="1"/>
  <c r="J137" i="1"/>
  <c r="J149" i="1" s="1"/>
  <c r="F61" i="1"/>
  <c r="O82" i="23"/>
  <c r="O70" i="23"/>
  <c r="B36" i="1"/>
  <c r="N36" i="1" s="1"/>
  <c r="C135" i="1"/>
  <c r="C12" i="1"/>
  <c r="D139" i="1"/>
  <c r="D151" i="1" s="1"/>
  <c r="G13" i="23"/>
  <c r="G33" i="24" s="1"/>
  <c r="G46" i="24" s="1"/>
  <c r="G13" i="24" s="1"/>
  <c r="F41" i="8"/>
  <c r="E7" i="8" s="1"/>
  <c r="D7" i="8"/>
  <c r="F47" i="9"/>
  <c r="E8" i="9" s="1"/>
  <c r="D8" i="9"/>
  <c r="D10" i="24"/>
  <c r="E4" i="23"/>
  <c r="E24" i="24" s="1"/>
  <c r="E37" i="24" s="1"/>
  <c r="E4" i="24" s="1"/>
  <c r="C26" i="24"/>
  <c r="O6" i="23"/>
  <c r="F35" i="9"/>
  <c r="E6" i="9" s="1"/>
  <c r="D6" i="9"/>
  <c r="D7" i="4"/>
  <c r="F41" i="4"/>
  <c r="E7" i="4" s="1"/>
  <c r="M12" i="1"/>
  <c r="M135" i="1"/>
  <c r="N10" i="23"/>
  <c r="N30" i="24" s="1"/>
  <c r="N43" i="24" s="1"/>
  <c r="N10" i="24" s="1"/>
  <c r="K7" i="23"/>
  <c r="K27" i="24" s="1"/>
  <c r="K40" i="24" s="1"/>
  <c r="K7" i="24" s="1"/>
  <c r="L22" i="1"/>
  <c r="L30" i="1" s="1"/>
  <c r="L124" i="1" s="1"/>
  <c r="L126" i="1" s="1"/>
  <c r="D11" i="24"/>
  <c r="N53" i="1"/>
  <c r="F59" i="5"/>
  <c r="E10" i="5" s="1"/>
  <c r="D10" i="5"/>
  <c r="H127" i="1"/>
  <c r="H129" i="1" s="1"/>
  <c r="O52" i="23"/>
  <c r="N5" i="1"/>
  <c r="D13" i="23"/>
  <c r="D33" i="24" s="1"/>
  <c r="D46" i="24" s="1"/>
  <c r="D13" i="24" s="1"/>
  <c r="N59" i="1"/>
  <c r="I137" i="1"/>
  <c r="I149" i="1" s="1"/>
  <c r="D136" i="1"/>
  <c r="D148" i="1" s="1"/>
  <c r="B137" i="1"/>
  <c r="B149" i="1" s="1"/>
  <c r="N7" i="1"/>
  <c r="J4" i="23"/>
  <c r="J24" i="24" s="1"/>
  <c r="J37" i="24" s="1"/>
  <c r="J4" i="24" s="1"/>
  <c r="K61" i="1"/>
  <c r="E10" i="23"/>
  <c r="E30" i="24" s="1"/>
  <c r="E43" i="24" s="1"/>
  <c r="E10" i="24" s="1"/>
  <c r="J135" i="1"/>
  <c r="J12" i="1"/>
  <c r="G4" i="23"/>
  <c r="G24" i="24" s="1"/>
  <c r="G37" i="24" s="1"/>
  <c r="D11" i="9"/>
  <c r="F65" i="9"/>
  <c r="E11" i="9" s="1"/>
  <c r="D67" i="23"/>
  <c r="C33" i="1" s="1"/>
  <c r="D68" i="23"/>
  <c r="C34" i="1" s="1"/>
  <c r="C136" i="1" s="1"/>
  <c r="C148" i="1" s="1"/>
  <c r="E11" i="24"/>
  <c r="E8" i="23"/>
  <c r="E28" i="24" s="1"/>
  <c r="E41" i="24" s="1"/>
  <c r="E8" i="24" s="1"/>
  <c r="G11" i="24"/>
  <c r="N8" i="23"/>
  <c r="N28" i="24" s="1"/>
  <c r="N41" i="24" s="1"/>
  <c r="N8" i="24" s="1"/>
  <c r="F23" i="9"/>
  <c r="E4" i="9" s="1"/>
  <c r="D4" i="9"/>
  <c r="D5" i="4"/>
  <c r="F29" i="4"/>
  <c r="E5" i="4" s="1"/>
  <c r="C9" i="23"/>
  <c r="I13" i="23"/>
  <c r="I33" i="24" s="1"/>
  <c r="I46" i="24" s="1"/>
  <c r="I13" i="24" s="1"/>
  <c r="J142" i="1"/>
  <c r="J154" i="1" s="1"/>
  <c r="J127" i="1"/>
  <c r="J129" i="1" s="1"/>
  <c r="G22" i="1"/>
  <c r="G30" i="1" s="1"/>
  <c r="H10" i="23"/>
  <c r="H30" i="24" s="1"/>
  <c r="H43" i="24" s="1"/>
  <c r="H10" i="24" s="1"/>
  <c r="O71" i="23"/>
  <c r="B37" i="1"/>
  <c r="N37" i="1" s="1"/>
  <c r="E12" i="24"/>
  <c r="G8" i="24"/>
  <c r="C31" i="24"/>
  <c r="O11" i="23"/>
  <c r="O81" i="23"/>
  <c r="L127" i="1"/>
  <c r="L129" i="1" s="1"/>
  <c r="L142" i="1"/>
  <c r="L154" i="1" s="1"/>
  <c r="K142" i="1"/>
  <c r="K154" i="1" s="1"/>
  <c r="G142" i="1"/>
  <c r="G154" i="1" s="1"/>
  <c r="F35" i="4"/>
  <c r="E6" i="4" s="1"/>
  <c r="D6" i="4"/>
  <c r="H124" i="1"/>
  <c r="H126" i="1" s="1"/>
  <c r="E7" i="24"/>
  <c r="D10" i="8"/>
  <c r="F58" i="8"/>
  <c r="E10" i="8" s="1"/>
  <c r="O56" i="23"/>
  <c r="D7" i="14"/>
  <c r="F41" i="14"/>
  <c r="E7" i="14" s="1"/>
  <c r="G61" i="1"/>
  <c r="L8" i="24"/>
  <c r="O141" i="23"/>
  <c r="B110" i="1"/>
  <c r="N110" i="1" s="1"/>
  <c r="F71" i="4"/>
  <c r="E12" i="4" s="1"/>
  <c r="D12" i="4"/>
  <c r="G10" i="24"/>
  <c r="O169" i="23"/>
  <c r="B80" i="1"/>
  <c r="N80" i="1" s="1"/>
  <c r="H7" i="23"/>
  <c r="H27" i="24" s="1"/>
  <c r="H40" i="24" s="1"/>
  <c r="H7" i="24" s="1"/>
  <c r="C20" i="24"/>
  <c r="O20" i="24" s="1"/>
  <c r="F10" i="24"/>
  <c r="D7" i="9"/>
  <c r="F41" i="9"/>
  <c r="E7" i="9" s="1"/>
  <c r="F59" i="4"/>
  <c r="E10" i="4" s="1"/>
  <c r="D10" i="4"/>
  <c r="M61" i="1"/>
  <c r="O69" i="23"/>
  <c r="B35" i="1"/>
  <c r="N35" i="1" s="1"/>
  <c r="E22" i="1"/>
  <c r="E30" i="1" s="1"/>
  <c r="D13" i="5"/>
  <c r="F77" i="5"/>
  <c r="E13" i="5" s="1"/>
  <c r="J6" i="24"/>
  <c r="O117" i="23"/>
  <c r="B90" i="1"/>
  <c r="N90" i="1" s="1"/>
  <c r="N8" i="1"/>
  <c r="D5" i="14"/>
  <c r="F29" i="14"/>
  <c r="E5" i="14" s="1"/>
  <c r="E5" i="23"/>
  <c r="E25" i="24" s="1"/>
  <c r="E38" i="24" s="1"/>
  <c r="E5" i="24" s="1"/>
  <c r="C16" i="24"/>
  <c r="O16" i="24" s="1"/>
  <c r="H6" i="24"/>
  <c r="D8" i="23"/>
  <c r="D28" i="24" s="1"/>
  <c r="D41" i="24" s="1"/>
  <c r="D8" i="24" s="1"/>
  <c r="G140" i="1"/>
  <c r="G152" i="1" s="1"/>
  <c r="I40" i="1"/>
  <c r="I47" i="1" s="1"/>
  <c r="J139" i="1"/>
  <c r="J151" i="1" s="1"/>
  <c r="N56" i="1"/>
  <c r="B81" i="1"/>
  <c r="N74" i="1"/>
  <c r="N81" i="1" s="1"/>
  <c r="B26" i="7"/>
  <c r="D31" i="7"/>
  <c r="B141" i="1"/>
  <c r="B153" i="1" s="1"/>
  <c r="N57" i="1"/>
  <c r="N141" i="1" s="1"/>
  <c r="N153" i="1" s="1"/>
  <c r="B22" i="1"/>
  <c r="B30" i="1" s="1"/>
  <c r="N15" i="1"/>
  <c r="L10" i="24"/>
  <c r="F59" i="14"/>
  <c r="E10" i="14" s="1"/>
  <c r="D10" i="14"/>
  <c r="H4" i="23"/>
  <c r="H24" i="24" s="1"/>
  <c r="H37" i="24" s="1"/>
  <c r="H4" i="24" s="1"/>
  <c r="C10" i="23"/>
  <c r="N9" i="23"/>
  <c r="N29" i="24" s="1"/>
  <c r="N42" i="24" s="1"/>
  <c r="N9" i="24" s="1"/>
  <c r="F71" i="9"/>
  <c r="E12" i="9" s="1"/>
  <c r="D12" i="9"/>
  <c r="F47" i="4"/>
  <c r="E8" i="4" s="1"/>
  <c r="D8" i="4"/>
  <c r="N50" i="1"/>
  <c r="B61" i="1"/>
  <c r="N4" i="23"/>
  <c r="N24" i="24" s="1"/>
  <c r="N37" i="24" s="1"/>
  <c r="N4" i="24" s="1"/>
  <c r="F22" i="1"/>
  <c r="F30" i="1" s="1"/>
  <c r="N12" i="23"/>
  <c r="N32" i="24" s="1"/>
  <c r="N45" i="24" s="1"/>
  <c r="N12" i="24" s="1"/>
  <c r="O64" i="23"/>
  <c r="D9" i="5"/>
  <c r="F53" i="5"/>
  <c r="E9" i="5" s="1"/>
  <c r="L12" i="23"/>
  <c r="L32" i="24" s="1"/>
  <c r="L45" i="24" s="1"/>
  <c r="L12" i="24" s="1"/>
  <c r="G9" i="23"/>
  <c r="G29" i="24" s="1"/>
  <c r="G42" i="24" s="1"/>
  <c r="G9" i="24" s="1"/>
  <c r="N7" i="23"/>
  <c r="N27" i="24" s="1"/>
  <c r="N40" i="24" s="1"/>
  <c r="N7" i="24" s="1"/>
  <c r="O58" i="23"/>
  <c r="F65" i="14"/>
  <c r="E11" i="14" s="1"/>
  <c r="D11" i="14"/>
  <c r="C17" i="24"/>
  <c r="N91" i="1"/>
  <c r="F136" i="1"/>
  <c r="F148" i="1" s="1"/>
  <c r="N60" i="1"/>
  <c r="M7" i="23"/>
  <c r="M27" i="24" s="1"/>
  <c r="M40" i="24" s="1"/>
  <c r="M7" i="24" s="1"/>
  <c r="H5" i="23"/>
  <c r="H25" i="24" s="1"/>
  <c r="H38" i="24" s="1"/>
  <c r="H5" i="24" s="1"/>
  <c r="G136" i="1"/>
  <c r="G148" i="1" s="1"/>
  <c r="F139" i="1"/>
  <c r="F151" i="1" s="1"/>
  <c r="J138" i="1"/>
  <c r="J150" i="1" s="1"/>
  <c r="C81" i="1"/>
  <c r="L13" i="24"/>
  <c r="D12" i="5"/>
  <c r="F71" i="5"/>
  <c r="E12" i="5" s="1"/>
  <c r="L11" i="24"/>
  <c r="L9" i="24"/>
  <c r="O18" i="24"/>
  <c r="J7" i="24"/>
  <c r="E13" i="23"/>
  <c r="E33" i="24" s="1"/>
  <c r="E46" i="24" s="1"/>
  <c r="E13" i="24" s="1"/>
  <c r="N58" i="1"/>
  <c r="D9" i="9"/>
  <c r="F53" i="9"/>
  <c r="E9" i="9" s="1"/>
  <c r="D22" i="1"/>
  <c r="D30" i="1" s="1"/>
  <c r="O73" i="23"/>
  <c r="B39" i="1"/>
  <c r="N39" i="1" s="1"/>
  <c r="F23" i="4"/>
  <c r="E4" i="4" s="1"/>
  <c r="D4" i="4"/>
  <c r="I7" i="23"/>
  <c r="I27" i="24" s="1"/>
  <c r="I40" i="24" s="1"/>
  <c r="I7" i="24" s="1"/>
  <c r="F64" i="8"/>
  <c r="E11" i="8" s="1"/>
  <c r="D11" i="8"/>
  <c r="C138" i="1"/>
  <c r="C150" i="1" s="1"/>
  <c r="E9" i="23"/>
  <c r="E29" i="24" s="1"/>
  <c r="E42" i="24" s="1"/>
  <c r="E9" i="24" s="1"/>
  <c r="J61" i="1"/>
  <c r="C67" i="23"/>
  <c r="C68" i="23"/>
  <c r="F41" i="5"/>
  <c r="E7" i="5" s="1"/>
  <c r="D7" i="5"/>
  <c r="F142" i="1"/>
  <c r="F154" i="1" s="1"/>
  <c r="F127" i="1"/>
  <c r="F129" i="1" s="1"/>
  <c r="F23" i="14"/>
  <c r="E4" i="14" s="1"/>
  <c r="D4" i="14"/>
  <c r="N13" i="23"/>
  <c r="N33" i="24" s="1"/>
  <c r="N46" i="24" s="1"/>
  <c r="N13" i="24" s="1"/>
  <c r="E127" i="1"/>
  <c r="E129" i="1" s="1"/>
  <c r="M13" i="23"/>
  <c r="M33" i="24" s="1"/>
  <c r="M46" i="24" s="1"/>
  <c r="M13" i="24" s="1"/>
  <c r="H11" i="24"/>
  <c r="K9" i="24"/>
  <c r="E61" i="1"/>
  <c r="F140" i="1"/>
  <c r="F152" i="1" s="1"/>
  <c r="O60" i="23"/>
  <c r="B10" i="1"/>
  <c r="I140" i="1"/>
  <c r="I152" i="1" s="1"/>
  <c r="M127" i="1"/>
  <c r="M129" i="1" s="1"/>
  <c r="L61" i="1"/>
  <c r="G5" i="24"/>
  <c r="B71" i="1"/>
  <c r="N64" i="1"/>
  <c r="N71" i="1" s="1"/>
  <c r="O72" i="23"/>
  <c r="B38" i="1"/>
  <c r="N38" i="1" s="1"/>
  <c r="F29" i="5"/>
  <c r="E5" i="5" s="1"/>
  <c r="D5" i="5"/>
  <c r="H13" i="23"/>
  <c r="H33" i="24" s="1"/>
  <c r="H46" i="24" s="1"/>
  <c r="H13" i="24" s="1"/>
  <c r="I12" i="1"/>
  <c r="I124" i="1" s="1"/>
  <c r="I126" i="1" s="1"/>
  <c r="I135" i="1"/>
  <c r="F35" i="14"/>
  <c r="E6" i="14" s="1"/>
  <c r="D6" i="14"/>
  <c r="C127" i="1"/>
  <c r="C129" i="1" s="1"/>
  <c r="C142" i="1"/>
  <c r="C154" i="1" s="1"/>
  <c r="K11" i="24"/>
  <c r="C13" i="23"/>
  <c r="E6" i="24"/>
  <c r="H22" i="1"/>
  <c r="H30" i="1" s="1"/>
  <c r="F4" i="24"/>
  <c r="N51" i="1"/>
  <c r="G12" i="1"/>
  <c r="G135" i="1"/>
  <c r="B111" i="1"/>
  <c r="N104" i="1"/>
  <c r="N111" i="1" s="1"/>
  <c r="F8" i="24"/>
  <c r="K33" i="1" l="1"/>
  <c r="L4" i="23"/>
  <c r="L24" i="24" s="1"/>
  <c r="L37" i="24" s="1"/>
  <c r="L4" i="24" s="1"/>
  <c r="M143" i="1"/>
  <c r="M147" i="1"/>
  <c r="M155" i="1" s="1"/>
  <c r="D147" i="1"/>
  <c r="D155" i="1" s="1"/>
  <c r="D143" i="1"/>
  <c r="L155" i="1"/>
  <c r="C29" i="24"/>
  <c r="O9" i="23"/>
  <c r="M124" i="1"/>
  <c r="M126" i="1" s="1"/>
  <c r="C33" i="24"/>
  <c r="O13" i="23"/>
  <c r="G147" i="1"/>
  <c r="G155" i="1" s="1"/>
  <c r="G143" i="1"/>
  <c r="G124" i="1"/>
  <c r="G126" i="1" s="1"/>
  <c r="B140" i="1"/>
  <c r="B152" i="1" s="1"/>
  <c r="N10" i="1"/>
  <c r="N140" i="1" s="1"/>
  <c r="N152" i="1" s="1"/>
  <c r="N22" i="1"/>
  <c r="N30" i="1" s="1"/>
  <c r="G4" i="24"/>
  <c r="B12" i="1"/>
  <c r="B142" i="1"/>
  <c r="B154" i="1" s="1"/>
  <c r="N11" i="1"/>
  <c r="B127" i="1"/>
  <c r="B129" i="1" s="1"/>
  <c r="N6" i="1"/>
  <c r="I143" i="1"/>
  <c r="I147" i="1"/>
  <c r="I155" i="1" s="1"/>
  <c r="O5" i="23"/>
  <c r="O17" i="24"/>
  <c r="O68" i="23"/>
  <c r="B34" i="1"/>
  <c r="N34" i="1" s="1"/>
  <c r="C7" i="23"/>
  <c r="N61" i="1"/>
  <c r="O31" i="24"/>
  <c r="C44" i="24"/>
  <c r="J124" i="1"/>
  <c r="J126" i="1" s="1"/>
  <c r="O67" i="23"/>
  <c r="B33" i="1"/>
  <c r="C4" i="23"/>
  <c r="J143" i="1"/>
  <c r="J147" i="1"/>
  <c r="J155" i="1" s="1"/>
  <c r="K34" i="1"/>
  <c r="K136" i="1" s="1"/>
  <c r="K148" i="1" s="1"/>
  <c r="L7" i="23"/>
  <c r="L27" i="24" s="1"/>
  <c r="L40" i="24" s="1"/>
  <c r="L7" i="24" s="1"/>
  <c r="O26" i="24"/>
  <c r="C39" i="24"/>
  <c r="O32" i="24"/>
  <c r="C45" i="24"/>
  <c r="C147" i="1"/>
  <c r="C155" i="1" s="1"/>
  <c r="C143" i="1"/>
  <c r="D40" i="7"/>
  <c r="B34" i="7"/>
  <c r="C38" i="24"/>
  <c r="O25" i="24"/>
  <c r="D4" i="23"/>
  <c r="D24" i="24" s="1"/>
  <c r="D37" i="24" s="1"/>
  <c r="D4" i="24" s="1"/>
  <c r="N139" i="1"/>
  <c r="N151" i="1" s="1"/>
  <c r="N137" i="1"/>
  <c r="N149" i="1" s="1"/>
  <c r="B138" i="1"/>
  <c r="B150" i="1" s="1"/>
  <c r="N9" i="1"/>
  <c r="N138" i="1" s="1"/>
  <c r="N150" i="1" s="1"/>
  <c r="C30" i="24"/>
  <c r="O10" i="23"/>
  <c r="B139" i="1"/>
  <c r="B151" i="1" s="1"/>
  <c r="F124" i="1"/>
  <c r="F126" i="1" s="1"/>
  <c r="O8" i="23"/>
  <c r="C40" i="1"/>
  <c r="C47" i="1" s="1"/>
  <c r="C124" i="1" s="1"/>
  <c r="C126" i="1" s="1"/>
  <c r="F147" i="1"/>
  <c r="F155" i="1" s="1"/>
  <c r="F143" i="1"/>
  <c r="D124" i="1"/>
  <c r="D126" i="1" s="1"/>
  <c r="C41" i="24"/>
  <c r="O28" i="24"/>
  <c r="O39" i="24" l="1"/>
  <c r="O6" i="24" s="1"/>
  <c r="C6" i="24"/>
  <c r="N142" i="1"/>
  <c r="N154" i="1" s="1"/>
  <c r="N127" i="1"/>
  <c r="N129" i="1" s="1"/>
  <c r="N12" i="1"/>
  <c r="C27" i="24"/>
  <c r="O7" i="23"/>
  <c r="O29" i="24"/>
  <c r="C42" i="24"/>
  <c r="O41" i="24"/>
  <c r="O8" i="24" s="1"/>
  <c r="C8" i="24"/>
  <c r="B43" i="7"/>
  <c r="D48" i="7"/>
  <c r="B40" i="1"/>
  <c r="B47" i="1" s="1"/>
  <c r="B124" i="1" s="1"/>
  <c r="B126" i="1" s="1"/>
  <c r="N33" i="1"/>
  <c r="B135" i="1"/>
  <c r="O38" i="24"/>
  <c r="O5" i="24" s="1"/>
  <c r="C5" i="24"/>
  <c r="C24" i="24"/>
  <c r="O4" i="23"/>
  <c r="N136" i="1"/>
  <c r="N148" i="1" s="1"/>
  <c r="C43" i="24"/>
  <c r="O30" i="24"/>
  <c r="C12" i="24"/>
  <c r="O45" i="24"/>
  <c r="O12" i="24" s="1"/>
  <c r="B136" i="1"/>
  <c r="B148" i="1" s="1"/>
  <c r="O44" i="24"/>
  <c r="O11" i="24" s="1"/>
  <c r="C11" i="24"/>
  <c r="C46" i="24"/>
  <c r="O33" i="24"/>
  <c r="K40" i="1"/>
  <c r="K47" i="1" s="1"/>
  <c r="K124" i="1" s="1"/>
  <c r="K126" i="1" s="1"/>
  <c r="K135" i="1"/>
  <c r="C37" i="24" l="1"/>
  <c r="O24" i="24"/>
  <c r="C9" i="24"/>
  <c r="O42" i="24"/>
  <c r="O9" i="24" s="1"/>
  <c r="C10" i="24"/>
  <c r="O43" i="24"/>
  <c r="O10" i="24" s="1"/>
  <c r="K147" i="1"/>
  <c r="K155" i="1" s="1"/>
  <c r="K143" i="1"/>
  <c r="O46" i="24"/>
  <c r="O13" i="24" s="1"/>
  <c r="C13" i="24"/>
  <c r="O27" i="24"/>
  <c r="C40" i="24"/>
  <c r="B143" i="1"/>
  <c r="B147" i="1"/>
  <c r="B155" i="1" s="1"/>
  <c r="N40" i="1"/>
  <c r="N47" i="1" s="1"/>
  <c r="N124" i="1" s="1"/>
  <c r="N126" i="1" s="1"/>
  <c r="N135" i="1"/>
  <c r="D73" i="7"/>
  <c r="B51" i="7"/>
  <c r="D82" i="7" l="1"/>
  <c r="B76" i="7"/>
  <c r="N147" i="1"/>
  <c r="N155" i="1" s="1"/>
  <c r="N143" i="1"/>
  <c r="O40" i="24"/>
  <c r="O7" i="24" s="1"/>
  <c r="C7" i="24"/>
  <c r="C4" i="24"/>
  <c r="O37" i="24"/>
  <c r="O4" i="24" s="1"/>
  <c r="D90" i="7" l="1"/>
  <c r="B85" i="7"/>
  <c r="B93" i="7" l="1"/>
  <c r="D99" i="7"/>
  <c r="B102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O2" authorId="0" shapeId="0" xr:uid="{00000000-0006-0000-0000-000005000000}">
      <text>
        <r>
          <rPr>
            <sz val="10"/>
            <rFont val="Arial"/>
            <family val="2"/>
          </rPr>
          <t>Fuente: Exhibit 2M radicado (Q4 FY2026), columna O. Verificado contra los permisos Título V publicados por el DRNA: San Juan (PFE-TV-4911-65-1196-0016), Aguirre (PFE-TV-4911-63-0212-0244), Daguao (PFE-TV-4911-19-0306-0447), Jobos (PFE-TV-4911-30-1107-0991) y Vega Baja (PFE-TV-4911-74-0106-0021) coinciden. Aguirre: CAPs y CO2e tomados de su permiso (el 2M los dejó en blanco). Pendiente de confirmar con Ambiental: Cambalache y Yabucoa (difieren del permiso publicado); Costa Sur, Palo Seco y Mayagüez (permisos escaneados, no legibles).</t>
        </r>
      </text>
    </comment>
    <comment ref="A23" authorId="0" shapeId="0" xr:uid="{00000000-0006-0000-0000-000001000000}">
      <text>
        <r>
          <rPr>
            <sz val="10"/>
            <rFont val="Arial"/>
            <family val="2"/>
          </rPr>
          <t>Contaminantes atmosféricos peligrosos (CAPs): las hojas fuente no los calculan (Cálculos PS/AG tratan los HAPs como Pb) y el Exhibit 2M radicado los dejó sin valor, por lo que su total anual se presentó en 0.00. Se reflejan 0.00 igual que el 2M. Emisiones permisibles: el 2M radicado no las trae y el permiso Título V de Palo Seco publicado por el DRNA es un PDF escaneado que no se pudo leer; pendiente de confirmar con Ambiental (N/A).</t>
        </r>
      </text>
    </comment>
    <comment ref="A41" authorId="0" shapeId="0" xr:uid="{00000000-0006-0000-0000-000002000000}">
      <text>
        <r>
          <rPr>
            <sz val="10"/>
            <rFont val="Arial"/>
            <family val="2"/>
          </rPr>
          <t>Contaminantes atmosféricos peligrosos (CAPs): las hojas fuente no los calculan (Cálculos PS/AG tratan los HAPs como Pb) y el Exhibit 2M radicado los dejó sin valor, por lo que su total anual se presentó en 0.00. Se reflejan 0.00 igual que el 2M. Emisiones permisibles: Permiso Título V Aguirre PFE-TV-4911-63-0212-0244 (DRNA, 15-abr-2015), Sección IV "Permissible Emissions".</t>
        </r>
      </text>
    </comment>
    <comment ref="A125" authorId="0" shapeId="0" xr:uid="{00000000-0006-0000-0000-000003000000}">
      <text>
        <r>
          <rPr>
            <sz val="10"/>
            <rFont val="Arial"/>
            <family val="2"/>
          </rPr>
          <t>Million MMBtu = consumo de combustible de las plantas de Genera, sin las TMs de San Juan y Palo Seco. Enero–junio 2025: Exhibit 2D Q3–Q4 FY 24-25, pestaña System (Total System − TMs, Btu ÷ 10^12). Julio–diciembre 2025: EIA-923 2025, "Page 1 Puerto Rico", Tot_MMBtu de las plantas Aguirre, Central San Juan, Costa Sur, Palo Seco, Cambalache, Mayagüez, Daguao, Jobos, Vega Baja y Yabucoa (÷ 10^6).</t>
        </r>
      </text>
    </comment>
    <comment ref="A128" authorId="0" shapeId="0" xr:uid="{00000000-0006-0000-0000-000004000000}">
      <text>
        <r>
          <rPr>
            <sz val="10"/>
            <rFont val="Arial"/>
            <family val="2"/>
          </rPr>
          <t>GWh = generación neta de las mismas plantas, sin TMs. Enero–junio 2025: Exhibit 2D Q3–Q4 FY 24-25, pestaña System (Net Generation, Total System − TMs, kWh ÷ 10^6). Julio–diciembre 2025: EIA-923 2025, "Page 1 Puerto Rico", Netgen de las mismas diez plantas (MWh ÷ 1,000). Se usa generación neta en los 12 meses para mantener una sola base; en los meses en que coinciden, el EIA-923 y el 2D cuadran dentro de ±5%.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300-000001000000}">
      <text>
        <r>
          <rPr>
            <sz val="10"/>
            <rFont val="Arial"/>
            <family val="2"/>
          </rPr>
          <t>Babcock, Steven:
Permit Limit</t>
        </r>
      </text>
    </comment>
    <comment ref="C4" authorId="0" shapeId="0" xr:uid="{00000000-0006-0000-0300-00000A000000}">
      <text>
        <r>
          <rPr>
            <sz val="10"/>
            <rFont val="Arial"/>
            <family val="2"/>
          </rPr>
          <t>Babcock, Steven:
Permit Limit</t>
        </r>
      </text>
    </comment>
    <comment ref="B5" authorId="0" shapeId="0" xr:uid="{00000000-0006-0000-0300-000002000000}">
      <text>
        <r>
          <rPr>
            <sz val="10"/>
            <rFont val="Arial"/>
            <family val="2"/>
          </rPr>
          <t>Babcock, Steven:
Permit Limit</t>
        </r>
      </text>
    </comment>
    <comment ref="C5" authorId="0" shapeId="0" xr:uid="{00000000-0006-0000-0300-00000B000000}">
      <text>
        <r>
          <rPr>
            <sz val="10"/>
            <rFont val="Arial"/>
            <family val="2"/>
          </rPr>
          <t>Babcock, Steven:
Permit Limit</t>
        </r>
      </text>
    </comment>
    <comment ref="B6" authorId="0" shapeId="0" xr:uid="{00000000-0006-0000-0300-000003000000}">
      <text>
        <r>
          <rPr>
            <sz val="10"/>
            <rFont val="Arial"/>
            <family val="2"/>
          </rPr>
          <t>Babcock, Steven:
Permit Limit</t>
        </r>
      </text>
    </comment>
    <comment ref="C6" authorId="0" shapeId="0" xr:uid="{00000000-0006-0000-0300-00000C000000}">
      <text>
        <r>
          <rPr>
            <sz val="10"/>
            <rFont val="Arial"/>
            <family val="2"/>
          </rPr>
          <t>Babcock, Steven:
Permit Limit</t>
        </r>
      </text>
    </comment>
    <comment ref="B7" authorId="0" shapeId="0" xr:uid="{00000000-0006-0000-0300-000004000000}">
      <text>
        <r>
          <rPr>
            <sz val="10"/>
            <rFont val="Arial"/>
            <family val="2"/>
          </rPr>
          <t>Babcock, Steven:
Permit Limit</t>
        </r>
      </text>
    </comment>
    <comment ref="C7" authorId="0" shapeId="0" xr:uid="{00000000-0006-0000-0300-00000D000000}">
      <text>
        <r>
          <rPr>
            <sz val="10"/>
            <rFont val="Arial"/>
            <family val="2"/>
          </rPr>
          <t>Babcock, Steven:
Permit Limit</t>
        </r>
      </text>
    </comment>
    <comment ref="B8" authorId="0" shapeId="0" xr:uid="{00000000-0006-0000-0300-000005000000}">
      <text>
        <r>
          <rPr>
            <sz val="10"/>
            <rFont val="Arial"/>
            <family val="2"/>
          </rPr>
          <t>Babcock, Steven:
Permit LImit</t>
        </r>
      </text>
    </comment>
    <comment ref="C8" authorId="0" shapeId="0" xr:uid="{00000000-0006-0000-0300-00000E000000}">
      <text>
        <r>
          <rPr>
            <sz val="10"/>
            <rFont val="Arial"/>
            <family val="2"/>
          </rPr>
          <t>Babcock, Steven:
Pemrit Limit</t>
        </r>
      </text>
    </comment>
    <comment ref="B9" authorId="0" shapeId="0" xr:uid="{00000000-0006-0000-0300-000006000000}">
      <text>
        <r>
          <rPr>
            <sz val="10"/>
            <rFont val="Arial"/>
            <family val="2"/>
          </rPr>
          <t>Babcock, Steven:
Permit Limit</t>
        </r>
      </text>
    </comment>
    <comment ref="C9" authorId="0" shapeId="0" xr:uid="{00000000-0006-0000-0300-00000F000000}">
      <text>
        <r>
          <rPr>
            <sz val="10"/>
            <rFont val="Arial"/>
            <family val="2"/>
          </rPr>
          <t>Babcock, Steven:
Permit Limit</t>
        </r>
      </text>
    </comment>
    <comment ref="B10" authorId="0" shapeId="0" xr:uid="{00000000-0006-0000-0300-000007000000}">
      <text>
        <r>
          <rPr>
            <sz val="10"/>
            <rFont val="Arial"/>
            <family val="2"/>
          </rPr>
          <t>Babcock, Steven:
Permit Limit</t>
        </r>
      </text>
    </comment>
    <comment ref="C10" authorId="0" shapeId="0" xr:uid="{00000000-0006-0000-0300-000010000000}">
      <text>
        <r>
          <rPr>
            <sz val="10"/>
            <rFont val="Arial"/>
            <family val="2"/>
          </rPr>
          <t>Babcock, Steven:
AP-42 Section 1.3</t>
        </r>
      </text>
    </comment>
    <comment ref="B11" authorId="0" shapeId="0" xr:uid="{00000000-0006-0000-0300-000008000000}">
      <text>
        <r>
          <rPr>
            <sz val="10"/>
            <rFont val="Arial"/>
            <family val="2"/>
          </rPr>
          <t>Babcock, Steven:
Permit Limit</t>
        </r>
      </text>
    </comment>
    <comment ref="C11" authorId="0" shapeId="0" xr:uid="{00000000-0006-0000-0300-000011000000}">
      <text>
        <r>
          <rPr>
            <sz val="10"/>
            <rFont val="Arial"/>
            <family val="2"/>
          </rPr>
          <t>Babcock, Steven:
Permit Limit</t>
        </r>
      </text>
    </comment>
    <comment ref="B13" authorId="0" shapeId="0" xr:uid="{00000000-0006-0000-0300-000009000000}">
      <text>
        <r>
          <rPr>
            <sz val="10"/>
            <rFont val="Arial"/>
            <family val="2"/>
          </rPr>
          <t>Babcock, Steven:
eGGRT GHG Report</t>
        </r>
      </text>
    </comment>
    <comment ref="C13" authorId="0" shapeId="0" xr:uid="{00000000-0006-0000-0300-000012000000}">
      <text>
        <r>
          <rPr>
            <sz val="10"/>
            <rFont val="Arial"/>
            <family val="2"/>
          </rPr>
          <t>Babcock, Steven:
eGGRT GHG Report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400-000001000000}">
      <text>
        <r>
          <rPr>
            <sz val="10"/>
            <rFont val="Arial"/>
            <family val="2"/>
          </rPr>
          <t>Babcock, Steven:
Permit Limit</t>
        </r>
      </text>
    </comment>
    <comment ref="C4" authorId="0" shapeId="0" xr:uid="{00000000-0006-0000-0400-00000A000000}">
      <text>
        <r>
          <rPr>
            <sz val="10"/>
            <rFont val="Arial"/>
            <family val="2"/>
          </rPr>
          <t>Babcock, Steven:
Permit Limit</t>
        </r>
      </text>
    </comment>
    <comment ref="B5" authorId="0" shapeId="0" xr:uid="{00000000-0006-0000-0400-000002000000}">
      <text>
        <r>
          <rPr>
            <sz val="10"/>
            <rFont val="Arial"/>
            <family val="2"/>
          </rPr>
          <t>Babcock, Steven:
Permit Limit</t>
        </r>
      </text>
    </comment>
    <comment ref="C5" authorId="0" shapeId="0" xr:uid="{00000000-0006-0000-0400-00000B000000}">
      <text>
        <r>
          <rPr>
            <sz val="10"/>
            <rFont val="Arial"/>
            <family val="2"/>
          </rPr>
          <t>Babcock, Steven:
Permit Limit</t>
        </r>
      </text>
    </comment>
    <comment ref="B6" authorId="0" shapeId="0" xr:uid="{00000000-0006-0000-0400-000003000000}">
      <text>
        <r>
          <rPr>
            <sz val="10"/>
            <rFont val="Arial"/>
            <family val="2"/>
          </rPr>
          <t>Babcock, Steven:
Permit Limit</t>
        </r>
      </text>
    </comment>
    <comment ref="C6" authorId="0" shapeId="0" xr:uid="{00000000-0006-0000-0400-00000C000000}">
      <text>
        <r>
          <rPr>
            <sz val="10"/>
            <rFont val="Arial"/>
            <family val="2"/>
          </rPr>
          <t>Babcock, Steven:
Permit Limit</t>
        </r>
      </text>
    </comment>
    <comment ref="B7" authorId="0" shapeId="0" xr:uid="{00000000-0006-0000-0400-000004000000}">
      <text>
        <r>
          <rPr>
            <sz val="10"/>
            <rFont val="Arial"/>
            <family val="2"/>
          </rPr>
          <t>Babcock, Steven:
Permit Limit</t>
        </r>
      </text>
    </comment>
    <comment ref="C7" authorId="0" shapeId="0" xr:uid="{00000000-0006-0000-0400-00000D000000}">
      <text>
        <r>
          <rPr>
            <sz val="10"/>
            <rFont val="Arial"/>
            <family val="2"/>
          </rPr>
          <t>Babcock, Steven:
Permit Limit</t>
        </r>
      </text>
    </comment>
    <comment ref="B8" authorId="0" shapeId="0" xr:uid="{00000000-0006-0000-0400-000005000000}">
      <text>
        <r>
          <rPr>
            <sz val="10"/>
            <rFont val="Arial"/>
            <family val="2"/>
          </rPr>
          <t>Babcock, Steven:
Permit LImit</t>
        </r>
      </text>
    </comment>
    <comment ref="C8" authorId="0" shapeId="0" xr:uid="{00000000-0006-0000-0400-00000E000000}">
      <text>
        <r>
          <rPr>
            <sz val="10"/>
            <rFont val="Arial"/>
            <family val="2"/>
          </rPr>
          <t>Babcock, Steven:
Pemrit Limit</t>
        </r>
      </text>
    </comment>
    <comment ref="B9" authorId="0" shapeId="0" xr:uid="{00000000-0006-0000-0400-000006000000}">
      <text>
        <r>
          <rPr>
            <sz val="10"/>
            <rFont val="Arial"/>
            <family val="2"/>
          </rPr>
          <t>Babcock, Steven:
Permit Limit</t>
        </r>
      </text>
    </comment>
    <comment ref="C9" authorId="0" shapeId="0" xr:uid="{00000000-0006-0000-0400-00000F000000}">
      <text>
        <r>
          <rPr>
            <sz val="10"/>
            <rFont val="Arial"/>
            <family val="2"/>
          </rPr>
          <t>Babcock, Steven:
Permit Limit</t>
        </r>
      </text>
    </comment>
    <comment ref="B10" authorId="0" shapeId="0" xr:uid="{00000000-0006-0000-0400-000007000000}">
      <text>
        <r>
          <rPr>
            <sz val="10"/>
            <rFont val="Arial"/>
            <family val="2"/>
          </rPr>
          <t>Babcock, Steven:
Permit Limit</t>
        </r>
      </text>
    </comment>
    <comment ref="C10" authorId="0" shapeId="0" xr:uid="{00000000-0006-0000-0400-000010000000}">
      <text>
        <r>
          <rPr>
            <sz val="10"/>
            <rFont val="Arial"/>
            <family val="2"/>
          </rPr>
          <t>Babcock, Steven:
AP-42 Section 1.3</t>
        </r>
      </text>
    </comment>
    <comment ref="B11" authorId="0" shapeId="0" xr:uid="{00000000-0006-0000-0400-000008000000}">
      <text>
        <r>
          <rPr>
            <sz val="10"/>
            <rFont val="Arial"/>
            <family val="2"/>
          </rPr>
          <t>Babcock, Steven:
Permit Limit</t>
        </r>
      </text>
    </comment>
    <comment ref="C11" authorId="0" shapeId="0" xr:uid="{00000000-0006-0000-0400-000011000000}">
      <text>
        <r>
          <rPr>
            <sz val="10"/>
            <rFont val="Arial"/>
            <family val="2"/>
          </rPr>
          <t>Babcock, Steven:
Permit Limit</t>
        </r>
      </text>
    </comment>
    <comment ref="B13" authorId="0" shapeId="0" xr:uid="{00000000-0006-0000-0400-000009000000}">
      <text>
        <r>
          <rPr>
            <sz val="10"/>
            <rFont val="Arial"/>
            <family val="2"/>
          </rPr>
          <t>Babcock, Steven:
eGGRT GHG Report</t>
        </r>
      </text>
    </comment>
    <comment ref="C13" authorId="0" shapeId="0" xr:uid="{00000000-0006-0000-0400-000012000000}">
      <text>
        <r>
          <rPr>
            <sz val="10"/>
            <rFont val="Arial"/>
            <family val="2"/>
          </rPr>
          <t>Babcock, Steven:
eGGRT GHG Report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31" authorId="0" shapeId="0" xr:uid="{00000000-0006-0000-0500-000001000000}">
      <text>
        <r>
          <rPr>
            <sz val="10"/>
            <rFont val="Arial"/>
            <family val="2"/>
          </rPr>
          <t>Javier Lopez Rosario:
Opero 100% GN</t>
        </r>
      </text>
    </comment>
    <comment ref="B34" authorId="0" shapeId="0" xr:uid="{00000000-0006-0000-0500-000002000000}">
      <text>
        <r>
          <rPr>
            <sz val="10"/>
            <rFont val="Arial"/>
            <family val="2"/>
          </rPr>
          <t>Javier Lopez Rosario:
Opero 100% GN</t>
        </r>
      </text>
    </comment>
    <comment ref="C34" authorId="0" shapeId="0" xr:uid="{00000000-0006-0000-0500-000003000000}">
      <text>
        <r>
          <rPr>
            <sz val="10"/>
            <rFont val="Arial"/>
            <family val="2"/>
          </rPr>
          <t>Javier Lopez Rosario:
Opero en 100% GN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700-000001000000}">
      <text>
        <r>
          <rPr>
            <sz val="10"/>
            <rFont val="Arial"/>
            <family val="2"/>
          </rPr>
          <t>Babcock, Steven:
Vendor guarantee</t>
        </r>
      </text>
    </comment>
    <comment ref="C4" authorId="0" shapeId="0" xr:uid="{00000000-0006-0000-0700-00000A000000}">
      <text>
        <r>
          <rPr>
            <sz val="10"/>
            <rFont val="Arial"/>
            <family val="2"/>
          </rPr>
          <t>Babcock, Steven:
From EPA approved PSD netting analysis</t>
        </r>
      </text>
    </comment>
    <comment ref="B5" authorId="0" shapeId="0" xr:uid="{00000000-0006-0000-0700-000002000000}">
      <text>
        <r>
          <rPr>
            <sz val="10"/>
            <rFont val="Arial"/>
            <family val="2"/>
          </rPr>
          <t>Babcock, Steven:
Vendor gurantee</t>
        </r>
      </text>
    </comment>
    <comment ref="C5" authorId="0" shapeId="0" xr:uid="{00000000-0006-0000-0700-00000B000000}">
      <text>
        <r>
          <rPr>
            <sz val="10"/>
            <rFont val="Arial"/>
            <family val="2"/>
          </rPr>
          <t>Babcock, Steven:
From EPA approved PSD netting analysis</t>
        </r>
      </text>
    </comment>
    <comment ref="B6" authorId="0" shapeId="0" xr:uid="{00000000-0006-0000-0700-000003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6" authorId="0" shapeId="0" xr:uid="{00000000-0006-0000-0700-00000C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7" authorId="0" shapeId="0" xr:uid="{00000000-0006-0000-0700-000004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7" authorId="0" shapeId="0" xr:uid="{00000000-0006-0000-0700-00000D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8" authorId="0" shapeId="0" xr:uid="{00000000-0006-0000-0700-000005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8" authorId="0" shapeId="0" xr:uid="{00000000-0006-0000-0700-00000E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9" authorId="0" shapeId="0" xr:uid="{00000000-0006-0000-0700-000006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9" authorId="0" shapeId="0" xr:uid="{00000000-0006-0000-0700-00000F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10" authorId="0" shapeId="0" xr:uid="{00000000-0006-0000-0700-000007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0" authorId="0" shapeId="0" xr:uid="{00000000-0006-0000-0700-000010000000}">
      <text>
        <r>
          <rPr>
            <sz val="10"/>
            <rFont val="Arial"/>
            <family val="2"/>
          </rPr>
          <t>Babcock, Steven:
AP-42 Section 3.1</t>
        </r>
      </text>
    </comment>
    <comment ref="B11" authorId="0" shapeId="0" xr:uid="{00000000-0006-0000-0700-000008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1" authorId="0" shapeId="0" xr:uid="{00000000-0006-0000-0700-000011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2" authorId="0" shapeId="0" xr:uid="{00000000-0006-0000-0700-000012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13" authorId="0" shapeId="0" xr:uid="{00000000-0006-0000-0700-000009000000}">
      <text>
        <r>
          <rPr>
            <sz val="10"/>
            <rFont val="Arial"/>
            <family val="2"/>
          </rPr>
          <t>Babcock, Steven:
eGGRT GHG Report</t>
        </r>
      </text>
    </comment>
    <comment ref="C13" authorId="0" shapeId="0" xr:uid="{00000000-0006-0000-0700-000013000000}">
      <text>
        <r>
          <rPr>
            <sz val="10"/>
            <rFont val="Arial"/>
            <family val="2"/>
          </rPr>
          <t>Babcock, Steven:
eGGRT GHG Report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800-000001000000}">
      <text>
        <r>
          <rPr>
            <sz val="10"/>
            <rFont val="Arial"/>
            <family val="2"/>
          </rPr>
          <t>Babcock, Steven:
Vendor guarantee</t>
        </r>
      </text>
    </comment>
    <comment ref="C4" authorId="0" shapeId="0" xr:uid="{00000000-0006-0000-0800-00000A000000}">
      <text>
        <r>
          <rPr>
            <sz val="10"/>
            <rFont val="Arial"/>
            <family val="2"/>
          </rPr>
          <t>Babcock, Steven:
From EPA approved PSD netting analysis</t>
        </r>
      </text>
    </comment>
    <comment ref="B5" authorId="0" shapeId="0" xr:uid="{00000000-0006-0000-0800-000002000000}">
      <text>
        <r>
          <rPr>
            <sz val="10"/>
            <rFont val="Arial"/>
            <family val="2"/>
          </rPr>
          <t>Babcock, Steven:
Vendor gurantee</t>
        </r>
      </text>
    </comment>
    <comment ref="C5" authorId="0" shapeId="0" xr:uid="{00000000-0006-0000-0800-00000B000000}">
      <text>
        <r>
          <rPr>
            <sz val="10"/>
            <rFont val="Arial"/>
            <family val="2"/>
          </rPr>
          <t>Babcock, Steven:
From EPA approved PSD netting analysis</t>
        </r>
      </text>
    </comment>
    <comment ref="B6" authorId="0" shapeId="0" xr:uid="{00000000-0006-0000-0800-000003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6" authorId="0" shapeId="0" xr:uid="{00000000-0006-0000-0800-00000C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7" authorId="0" shapeId="0" xr:uid="{00000000-0006-0000-0800-000004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7" authorId="0" shapeId="0" xr:uid="{00000000-0006-0000-0800-00000D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8" authorId="0" shapeId="0" xr:uid="{00000000-0006-0000-0800-000005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8" authorId="0" shapeId="0" xr:uid="{00000000-0006-0000-0800-00000E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9" authorId="0" shapeId="0" xr:uid="{00000000-0006-0000-0800-000006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9" authorId="0" shapeId="0" xr:uid="{00000000-0006-0000-0800-00000F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10" authorId="0" shapeId="0" xr:uid="{00000000-0006-0000-0800-000007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0" authorId="0" shapeId="0" xr:uid="{00000000-0006-0000-0800-000010000000}">
      <text>
        <r>
          <rPr>
            <sz val="10"/>
            <rFont val="Arial"/>
            <family val="2"/>
          </rPr>
          <t>Babcock, Steven:
AP-42 Section 3.1</t>
        </r>
      </text>
    </comment>
    <comment ref="B11" authorId="0" shapeId="0" xr:uid="{00000000-0006-0000-0800-000008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1" authorId="0" shapeId="0" xr:uid="{00000000-0006-0000-0800-000011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2" authorId="0" shapeId="0" xr:uid="{00000000-0006-0000-0800-000012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13" authorId="0" shapeId="0" xr:uid="{00000000-0006-0000-0800-000009000000}">
      <text>
        <r>
          <rPr>
            <sz val="10"/>
            <rFont val="Arial"/>
            <family val="2"/>
          </rPr>
          <t>Babcock, Steven:
eGGRT GHG Report</t>
        </r>
      </text>
    </comment>
    <comment ref="C13" authorId="0" shapeId="0" xr:uid="{00000000-0006-0000-0800-000013000000}">
      <text>
        <r>
          <rPr>
            <sz val="10"/>
            <rFont val="Arial"/>
            <family val="2"/>
          </rPr>
          <t>Babcock, Steven:
eGGRT GHG Report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D00-000001000000}">
      <text>
        <r>
          <rPr>
            <sz val="10"/>
            <rFont val="Arial"/>
            <family val="2"/>
          </rPr>
          <t>Babcock, Steven:
Permit Limit</t>
        </r>
      </text>
    </comment>
    <comment ref="C4" authorId="0" shapeId="0" xr:uid="{00000000-0006-0000-0D00-00000A000000}">
      <text>
        <r>
          <rPr>
            <sz val="10"/>
            <rFont val="Arial"/>
            <family val="2"/>
          </rPr>
          <t>Babcock, Steven:
Permit Limit</t>
        </r>
      </text>
    </comment>
    <comment ref="B5" authorId="0" shapeId="0" xr:uid="{00000000-0006-0000-0D00-000002000000}">
      <text>
        <r>
          <rPr>
            <sz val="10"/>
            <rFont val="Arial"/>
            <family val="2"/>
          </rPr>
          <t>Babcock, Steven:
Permit Limit</t>
        </r>
      </text>
    </comment>
    <comment ref="C5" authorId="0" shapeId="0" xr:uid="{00000000-0006-0000-0D00-00000B000000}">
      <text>
        <r>
          <rPr>
            <sz val="10"/>
            <rFont val="Arial"/>
            <family val="2"/>
          </rPr>
          <t>Babcock, Steven:
Permit Limit</t>
        </r>
      </text>
    </comment>
    <comment ref="B6" authorId="0" shapeId="0" xr:uid="{00000000-0006-0000-0D00-000003000000}">
      <text>
        <r>
          <rPr>
            <sz val="10"/>
            <rFont val="Arial"/>
            <family val="2"/>
          </rPr>
          <t>Babcock, Steven:
Permit Limit</t>
        </r>
      </text>
    </comment>
    <comment ref="C6" authorId="0" shapeId="0" xr:uid="{00000000-0006-0000-0D00-00000C000000}">
      <text>
        <r>
          <rPr>
            <sz val="10"/>
            <rFont val="Arial"/>
            <family val="2"/>
          </rPr>
          <t>Babcock, Steven:
Permit Limit</t>
        </r>
      </text>
    </comment>
    <comment ref="B7" authorId="0" shapeId="0" xr:uid="{00000000-0006-0000-0D00-000004000000}">
      <text>
        <r>
          <rPr>
            <sz val="10"/>
            <rFont val="Arial"/>
            <family val="2"/>
          </rPr>
          <t>Babcock, Steven:
Permit Limit</t>
        </r>
      </text>
    </comment>
    <comment ref="C7" authorId="0" shapeId="0" xr:uid="{00000000-0006-0000-0D00-00000D000000}">
      <text>
        <r>
          <rPr>
            <sz val="10"/>
            <rFont val="Arial"/>
            <family val="2"/>
          </rPr>
          <t>Babcock, Steven:
Permit Limit</t>
        </r>
      </text>
    </comment>
    <comment ref="B8" authorId="0" shapeId="0" xr:uid="{00000000-0006-0000-0D00-000005000000}">
      <text>
        <r>
          <rPr>
            <sz val="10"/>
            <rFont val="Arial"/>
            <family val="2"/>
          </rPr>
          <t>Babcock, Steven:
Permit Limit</t>
        </r>
      </text>
    </comment>
    <comment ref="C8" authorId="0" shapeId="0" xr:uid="{00000000-0006-0000-0D00-00000E000000}">
      <text>
        <r>
          <rPr>
            <sz val="10"/>
            <rFont val="Arial"/>
            <family val="2"/>
          </rPr>
          <t>Babcock, Steven:
Permit Limit</t>
        </r>
      </text>
    </comment>
    <comment ref="B9" authorId="0" shapeId="0" xr:uid="{00000000-0006-0000-0D00-000006000000}">
      <text>
        <r>
          <rPr>
            <sz val="10"/>
            <rFont val="Arial"/>
            <family val="2"/>
          </rPr>
          <t>Babcock, Steven:
Permit Limit</t>
        </r>
      </text>
    </comment>
    <comment ref="C9" authorId="0" shapeId="0" xr:uid="{00000000-0006-0000-0D00-00000F000000}">
      <text>
        <r>
          <rPr>
            <sz val="10"/>
            <rFont val="Arial"/>
            <family val="2"/>
          </rPr>
          <t>Babcock, Steven:
Permit Limit</t>
        </r>
      </text>
    </comment>
    <comment ref="B10" authorId="0" shapeId="0" xr:uid="{00000000-0006-0000-0D00-000007000000}">
      <text>
        <r>
          <rPr>
            <sz val="10"/>
            <rFont val="Arial"/>
            <family val="2"/>
          </rPr>
          <t>Babcock, Steven:
Permit Limit</t>
        </r>
      </text>
    </comment>
    <comment ref="C10" authorId="0" shapeId="0" xr:uid="{00000000-0006-0000-0D00-000010000000}">
      <text>
        <r>
          <rPr>
            <sz val="10"/>
            <rFont val="Arial"/>
            <family val="2"/>
          </rPr>
          <t>Babcock, Steven:
AP-42 Section 1.3</t>
        </r>
      </text>
    </comment>
    <comment ref="B11" authorId="0" shapeId="0" xr:uid="{00000000-0006-0000-0D00-000008000000}">
      <text>
        <r>
          <rPr>
            <sz val="10"/>
            <rFont val="Arial"/>
            <family val="2"/>
          </rPr>
          <t>Babcock, Steven:
Permit Limit</t>
        </r>
      </text>
    </comment>
    <comment ref="C11" authorId="0" shapeId="0" xr:uid="{00000000-0006-0000-0D00-000011000000}">
      <text>
        <r>
          <rPr>
            <sz val="10"/>
            <rFont val="Arial"/>
            <family val="2"/>
          </rPr>
          <t>Babcock, Steven:
Permit Limit</t>
        </r>
      </text>
    </comment>
    <comment ref="B13" authorId="0" shapeId="0" xr:uid="{00000000-0006-0000-0D00-000009000000}">
      <text>
        <r>
          <rPr>
            <sz val="10"/>
            <rFont val="Arial"/>
            <family val="2"/>
          </rPr>
          <t>Babcock, Steven:
40 CFR 98, Subpart C</t>
        </r>
      </text>
    </comment>
    <comment ref="C13" authorId="0" shapeId="0" xr:uid="{00000000-0006-0000-0D00-000012000000}">
      <text>
        <r>
          <rPr>
            <sz val="10"/>
            <rFont val="Arial"/>
            <family val="2"/>
          </rPr>
          <t>Babcock, Steven:
40 CFR 98, Subpart C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109" authorId="0" shapeId="0" xr:uid="{00000000-0006-0000-1700-000001000000}">
      <text>
        <r>
          <rPr>
            <sz val="10"/>
            <rFont val="Arial"/>
            <family val="2"/>
          </rPr>
          <t>Contenido calórico del diésel No. 2: 0.138 MMBtu/gal (40 CFR 98, Tabla C-1). Se usa el mismo valor que tenía la hoja del método anterior de Cambalache, que se eliminó. El cálculo de emisiones de Cambalache sale de la hoja 'Cálculos Cambalache (60%)'.</t>
        </r>
      </text>
    </comment>
  </commentList>
</comments>
</file>

<file path=xl/sharedStrings.xml><?xml version="1.0" encoding="utf-8"?>
<sst xmlns="http://schemas.openxmlformats.org/spreadsheetml/2006/main" count="5209" uniqueCount="482">
  <si>
    <t>Inventario de Emisiones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</si>
  <si>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</si>
  <si>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</si>
  <si>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</si>
  <si>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</si>
  <si>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</si>
  <si>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</si>
  <si>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</si>
  <si>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</si>
  <si>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</si>
  <si>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</si>
  <si>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</si>
  <si>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</si>
  <si>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Emisiones (tons/year)</t>
  </si>
  <si>
    <t>Total Emisiones Permisibles (tons/year)</t>
  </si>
  <si>
    <t>Pollutant</t>
  </si>
  <si>
    <t>San Juan</t>
  </si>
  <si>
    <t>PM</t>
  </si>
  <si>
    <t>PM10</t>
  </si>
  <si>
    <t>SO2</t>
  </si>
  <si>
    <t>NOx</t>
  </si>
  <si>
    <t>CO</t>
  </si>
  <si>
    <t>VOC</t>
  </si>
  <si>
    <t>Pb</t>
  </si>
  <si>
    <t>CO2e</t>
  </si>
  <si>
    <t>N/A</t>
  </si>
  <si>
    <t>Total</t>
  </si>
  <si>
    <t>Palo Seco</t>
  </si>
  <si>
    <t>Subtotal</t>
  </si>
  <si>
    <t>Ni Comp</t>
  </si>
  <si>
    <t>Mn Comp</t>
  </si>
  <si>
    <t>Formaldehido</t>
  </si>
  <si>
    <t>Tolueno</t>
  </si>
  <si>
    <t>POM</t>
  </si>
  <si>
    <t>CAPs Total</t>
  </si>
  <si>
    <t>Subtotal CAPs</t>
  </si>
  <si>
    <t>Aguirre</t>
  </si>
  <si>
    <t>PM Total</t>
  </si>
  <si>
    <t>Chloride</t>
  </si>
  <si>
    <t>Costa Sur</t>
  </si>
  <si>
    <t>PM2.5</t>
  </si>
  <si>
    <t>SOx</t>
  </si>
  <si>
    <t>H2SO4</t>
  </si>
  <si>
    <t>Fluoruro</t>
  </si>
  <si>
    <t>Cambalache</t>
  </si>
  <si>
    <t>Mayagüez</t>
  </si>
  <si>
    <t>Dagüao</t>
  </si>
  <si>
    <t>Jobos</t>
  </si>
  <si>
    <t>Vega Baja</t>
  </si>
  <si>
    <t>Yabucoa</t>
  </si>
  <si>
    <t>yearly Total</t>
  </si>
  <si>
    <t>Total Emisiones</t>
  </si>
  <si>
    <t>Total Permisible</t>
  </si>
  <si>
    <t>Criteria</t>
  </si>
  <si>
    <t>Million MMBtu</t>
  </si>
  <si>
    <t>lb/MMBtu</t>
  </si>
  <si>
    <t>GWh</t>
  </si>
  <si>
    <t>C ton/MWH</t>
  </si>
  <si>
    <t>Toneladas</t>
  </si>
  <si>
    <t>Totales</t>
  </si>
  <si>
    <t>LB/MMBtu Ind,</t>
  </si>
  <si>
    <t>Costa Sur BC Consumption 2025</t>
  </si>
  <si>
    <t>Galones</t>
  </si>
  <si>
    <t>Azufre</t>
  </si>
  <si>
    <t>Barrels</t>
  </si>
  <si>
    <t>year</t>
  </si>
  <si>
    <t>CS3</t>
  </si>
  <si>
    <t>CS4</t>
  </si>
  <si>
    <t>CS5</t>
  </si>
  <si>
    <t>CS6</t>
  </si>
  <si>
    <t>CS #2 FO Consumption 2025</t>
  </si>
  <si>
    <t>SCGT1-1</t>
  </si>
  <si>
    <t>SCGT1-2</t>
  </si>
  <si>
    <t>Costa Sur Natural Gas Consumtion 2025</t>
  </si>
  <si>
    <t>SCF</t>
  </si>
  <si>
    <t>Unit 5</t>
  </si>
  <si>
    <t>Unit 6</t>
  </si>
  <si>
    <t>TOTAL</t>
  </si>
  <si>
    <t>Cómputo de Emisiones Actuales - Costa Sur (Turbinas 1-1 &amp; 1-2) DICIEMBRE 2025</t>
  </si>
  <si>
    <t>Factores de Emisión AP-42 Section 3.1</t>
  </si>
  <si>
    <t>0.012lb/MMBTU</t>
  </si>
  <si>
    <t>1.01*%S lb/MMBTU</t>
  </si>
  <si>
    <t>0.880 lb/MMBTU</t>
  </si>
  <si>
    <t>0.00041 lb/MMBTU</t>
  </si>
  <si>
    <t>C0</t>
  </si>
  <si>
    <t>0.0033 lb/MMBTU</t>
  </si>
  <si>
    <t>0.0000140 lb MMBTU</t>
  </si>
  <si>
    <t>163.61 lb/MMBtu (40 CFR 98, Subpart C)</t>
  </si>
  <si>
    <t>Combustible #2</t>
  </si>
  <si>
    <t>gal/year</t>
  </si>
  <si>
    <t>Azufre %</t>
  </si>
  <si>
    <t>Cálculos Emisiones PM</t>
  </si>
  <si>
    <t>=</t>
  </si>
  <si>
    <t>lb</t>
  </si>
  <si>
    <t>gal</t>
  </si>
  <si>
    <t>MMBTU</t>
  </si>
  <si>
    <t>ton</t>
  </si>
  <si>
    <t>año</t>
  </si>
  <si>
    <t>hr</t>
  </si>
  <si>
    <t>Cálculos Emisiones SOx</t>
  </si>
  <si>
    <t>Cálculos Emisiones NOx</t>
  </si>
  <si>
    <t>Cálculos Emisiones VOC</t>
  </si>
  <si>
    <t>Cálculos Emisiones CO</t>
  </si>
  <si>
    <t>Cálculos Emisiones Pb</t>
  </si>
  <si>
    <t>Cálculos Emisiones CO2e</t>
  </si>
  <si>
    <t>Cómputo de Emisiones Actuales para Bunker C y Gas Natural - Costa Sur AÑO 2025 - Unidad 5*</t>
  </si>
  <si>
    <t>Parametro</t>
  </si>
  <si>
    <t>Factor de Emisión
Combustible Natural Gas</t>
  </si>
  <si>
    <t>Factor de Emisión
Combustible No. 6 Oil</t>
  </si>
  <si>
    <t>Emisiones Actuales (ton/year)</t>
  </si>
  <si>
    <t>Emisiones Actuales (lb/hr)</t>
  </si>
  <si>
    <t>Ecuación para el Cómputo</t>
  </si>
  <si>
    <t>ton/year =</t>
  </si>
  <si>
    <t>[Consumo de Combustible #6 en galones/year) * ( Valor Calorífico BC 0.15 MMBtu/gal)</t>
  </si>
  <si>
    <t>+ (Consumo Gas Natural SCF/year) * (Valor Calorífico GN 1,040 MMBtu/SCF*10^6)]</t>
  </si>
  <si>
    <t>* FE en lbs/MMBtu * 1 ton/2,000 lbs</t>
  </si>
  <si>
    <t>157*%S</t>
  </si>
  <si>
    <t>lbs/hr =</t>
  </si>
  <si>
    <t xml:space="preserve">(Toneladas Contaminante / year) * (1 year / 8,760 hr) * (2000 lb / ton) </t>
  </si>
  <si>
    <t>lbs/gal</t>
  </si>
  <si>
    <t>lbs/scf</t>
  </si>
  <si>
    <t>25.618 lbs/gal</t>
  </si>
  <si>
    <t>0.1205 lbs/SCF</t>
  </si>
  <si>
    <t>Consumo #6  =</t>
  </si>
  <si>
    <t>Consumo NG  =</t>
  </si>
  <si>
    <t>SCF/year</t>
  </si>
  <si>
    <t>#6 Azufre =</t>
  </si>
  <si>
    <t>%</t>
  </si>
  <si>
    <t>NOx =</t>
  </si>
  <si>
    <t xml:space="preserve">galons </t>
  </si>
  <si>
    <t xml:space="preserve">MMBtu            </t>
  </si>
  <si>
    <t>*</t>
  </si>
  <si>
    <t xml:space="preserve">lbs         </t>
  </si>
  <si>
    <t>+</t>
  </si>
  <si>
    <t xml:space="preserve">SCF       </t>
  </si>
  <si>
    <t xml:space="preserve">MMBtu   </t>
  </si>
  <si>
    <t>MMBtu</t>
  </si>
  <si>
    <t>lbs</t>
  </si>
  <si>
    <t>ton/year</t>
  </si>
  <si>
    <t>lb/hr</t>
  </si>
  <si>
    <t>CO =</t>
  </si>
  <si>
    <t>VOC =</t>
  </si>
  <si>
    <t>PM =</t>
  </si>
  <si>
    <t>PM10 =</t>
  </si>
  <si>
    <t>PM2.5 =</t>
  </si>
  <si>
    <t>SO2 =</t>
  </si>
  <si>
    <t>gals</t>
  </si>
  <si>
    <t>H2SO4 =</t>
  </si>
  <si>
    <t>Pb =</t>
  </si>
  <si>
    <t>CO2e =</t>
  </si>
  <si>
    <t>Nota:</t>
  </si>
  <si>
    <t>* La formula y los factores de emisión utilizados son los aprobados en la última revisión del permiso</t>
  </si>
  <si>
    <t xml:space="preserve">de construcción PFE-31-0810-0455-II-C, con fecha del 21 de DICIEMBRE de 2012, para la quema dual </t>
  </si>
  <si>
    <t>de combustible 100% Bunker C y 100% Gas Natural, según corresponda.</t>
  </si>
  <si>
    <t>Cómputo de Emisiones Actuales para Bunker C y Gas Natural - Costa Sur AÑO 2025 - Unidad 6*</t>
  </si>
  <si>
    <t>San Juan BC Consumption 2025</t>
  </si>
  <si>
    <t>SJ7</t>
  </si>
  <si>
    <t>SJ8</t>
  </si>
  <si>
    <t>SJ9</t>
  </si>
  <si>
    <t>SJ10</t>
  </si>
  <si>
    <t>***</t>
  </si>
  <si>
    <t>SJ #2FO Consumption 2025</t>
  </si>
  <si>
    <t>San Juan Natural Gas Consumtion 2025</t>
  </si>
  <si>
    <t>Horas</t>
  </si>
  <si>
    <t>SJCC5</t>
  </si>
  <si>
    <t>SJCC6</t>
  </si>
  <si>
    <t>Cómputo de Emisiones Actuales  AÑO 2025 - San Juan 7-10</t>
  </si>
  <si>
    <t>Factores de Emisión de acuerdo a Permiso Título V</t>
  </si>
  <si>
    <t>0.040    lbs/MMBtu</t>
  </si>
  <si>
    <t>MATS Emission Limit + AP-42 Section 1.3 Condensable PM</t>
  </si>
  <si>
    <t>0.030     lbs/MMBtu</t>
  </si>
  <si>
    <t>MATS Emission Limit</t>
  </si>
  <si>
    <t>157*%S lbs/1000gal</t>
  </si>
  <si>
    <t xml:space="preserve">AP-42 Section 1.3 </t>
  </si>
  <si>
    <t>0.0405    lbs/MMBtu</t>
  </si>
  <si>
    <t>NOx (7&amp;8)</t>
  </si>
  <si>
    <t>47        lbs/1000gal</t>
  </si>
  <si>
    <t>AP-42 Section 1.3 wall fired boilers</t>
  </si>
  <si>
    <t>NOx (9&amp;10)</t>
  </si>
  <si>
    <t>32       lbs/1000gal</t>
  </si>
  <si>
    <t>AP-42 Section 1.3 tangential fired boilers</t>
  </si>
  <si>
    <t>0.76        lbs/1000gal</t>
  </si>
  <si>
    <t>5             lbs/1000gal</t>
  </si>
  <si>
    <t>0.00151   lbs/1000gal</t>
  </si>
  <si>
    <t>24.891 lbs/gal</t>
  </si>
  <si>
    <t>eGGRT GHG Report</t>
  </si>
  <si>
    <t>Combustible #6</t>
  </si>
  <si>
    <t>gal/year 7&amp;8</t>
  </si>
  <si>
    <t>gal/year 9&amp;10</t>
  </si>
  <si>
    <t>% Azufre</t>
  </si>
  <si>
    <t>NO INCLUIR EN PRINT OUT"=('San Juan'!J17+'San Juan'!K17+'San Juan'!L17+'San Juan'!M17)/4" se saco del promedio a la u-10 ya que estubo apagada</t>
  </si>
  <si>
    <t>Cálculos Emisiones PM10</t>
  </si>
  <si>
    <t>Cálculos Emisiones H2SO4</t>
  </si>
  <si>
    <t>Cálculos Emisiones SO2</t>
  </si>
  <si>
    <t>NOTA PARA EFECTOS DE CALCULO SE SUBSTITUYO EL PROMEDIO DE AZUFRE POR EL CALCULO A MANO = .47; LA CELDA DEBE SER =B14</t>
  </si>
  <si>
    <t>Cálculos Emisiones Nox (7&amp;8)</t>
  </si>
  <si>
    <t>Cálculos Emisiones Nox (9&amp;10)</t>
  </si>
  <si>
    <t>Cómputo de Emisiones Actuales para Distillate Oil y Gas Natural - San Juan AÑO 2025 - Unidad 5</t>
  </si>
  <si>
    <t>Factor de Emisión
Combustible No. 2 Oil</t>
  </si>
  <si>
    <t>[Consumo de Combustible #6 en galones/year) * ( Valor Calorífico BC 0.138 MMBtu/gal)</t>
  </si>
  <si>
    <t>+ (Consumo Gas Natural SCF/year) * (Valor Calorífico GN 1,020 MMBtu/SCF*10^6)]</t>
  </si>
  <si>
    <t>1.01*%S</t>
  </si>
  <si>
    <t>22.578 lbs/gal</t>
  </si>
  <si>
    <t>Consumo #2  =</t>
  </si>
  <si>
    <t>#2 Azufre =</t>
  </si>
  <si>
    <t>Cómputo de Emisiones Actuales para Distillate Oil y Gas Natural - San Juan AÑO 2025 - Unidad 6</t>
  </si>
  <si>
    <t>Aguirre BC Consumption 2025</t>
  </si>
  <si>
    <t>Azufre % por peso</t>
  </si>
  <si>
    <t>Total
gal/year</t>
  </si>
  <si>
    <t>AG-1</t>
  </si>
  <si>
    <t>AG-2</t>
  </si>
  <si>
    <t>avg</t>
  </si>
  <si>
    <t>Aguirre CC #2 FO Consumption 2025</t>
  </si>
  <si>
    <t>Azufre Average</t>
  </si>
  <si>
    <t>CC1-1</t>
  </si>
  <si>
    <t>CC1-2</t>
  </si>
  <si>
    <t>CC1-3</t>
  </si>
  <si>
    <t>CC1-4</t>
  </si>
  <si>
    <t>CC2-1</t>
  </si>
  <si>
    <t>CC2-2</t>
  </si>
  <si>
    <t>CC2-3</t>
  </si>
  <si>
    <t>CC2-4</t>
  </si>
  <si>
    <t>Aguirre Turbines #2 FO Consumption 2025</t>
  </si>
  <si>
    <t>AGGT2-1</t>
  </si>
  <si>
    <t>AGGT2-2</t>
  </si>
  <si>
    <t>Ejemplo Cómputo de Emisiones Año 2025 - Termoleléctrica Aguirre  1 y Aguirre 2</t>
  </si>
  <si>
    <t>Ejemplo Cómputo de Emisiones Año 2025 - Aguirre (Ciclo Combinado + Turbinas de Gas)</t>
  </si>
  <si>
    <t>Factores de Emisión AP-42 Section 1.3</t>
  </si>
  <si>
    <t>(9.19)(%S) + 3.22 lb/1000gal</t>
  </si>
  <si>
    <t>0.012          lb/MMBTU</t>
  </si>
  <si>
    <t>157*%S lb/1000gal</t>
  </si>
  <si>
    <t>1.01*%S     lb/MMBTU</t>
  </si>
  <si>
    <t>0.33 lb/MMBtu (CD Relatively Maintained NOx Target)</t>
  </si>
  <si>
    <t>0.880          lb/MMBTU</t>
  </si>
  <si>
    <t>0.76 lb/1000gal</t>
  </si>
  <si>
    <t>0.00041      lb/MMBTU</t>
  </si>
  <si>
    <t>5 lb/1000gal</t>
  </si>
  <si>
    <t>0.0033        lb/MMBTU</t>
  </si>
  <si>
    <t>0.00151 lb/1000gal</t>
  </si>
  <si>
    <t>0.0000140   lb/MMBTU</t>
  </si>
  <si>
    <t>25.036 lb/gal</t>
  </si>
  <si>
    <t>40 CFR 98</t>
  </si>
  <si>
    <t>22.578 lb/gal</t>
  </si>
  <si>
    <t>0.15 MMBtu</t>
  </si>
  <si>
    <t>Palo Seco BC Consumption 2025</t>
  </si>
  <si>
    <t>Gallons</t>
  </si>
  <si>
    <t>PS-1</t>
  </si>
  <si>
    <t>PS-2</t>
  </si>
  <si>
    <t>PS-3</t>
  </si>
  <si>
    <t>PS-4</t>
  </si>
  <si>
    <t>Total Galones</t>
  </si>
  <si>
    <t>Total
(gal/yr)</t>
  </si>
  <si>
    <t>Palo Seco #2 FO Consumtion 2025</t>
  </si>
  <si>
    <t>Galons</t>
  </si>
  <si>
    <t>PSGT1-1</t>
  </si>
  <si>
    <t>PSGT1-2</t>
  </si>
  <si>
    <t>PSGT2-1</t>
  </si>
  <si>
    <t>PSGT2-2</t>
  </si>
  <si>
    <t>PSGT3-1</t>
  </si>
  <si>
    <t>PSGT3-2</t>
  </si>
  <si>
    <t>Palo Seco MobilePacs</t>
  </si>
  <si>
    <t>Gallons Distillate</t>
  </si>
  <si>
    <t>SCF Natural Gas</t>
  </si>
  <si>
    <t>PSMP1</t>
  </si>
  <si>
    <t>PSMP2</t>
  </si>
  <si>
    <t>PSMP3</t>
  </si>
  <si>
    <t>MP1</t>
  </si>
  <si>
    <t>MP2</t>
  </si>
  <si>
    <t>MP3</t>
  </si>
  <si>
    <t>Cómputo de Emisiones Actuales AÑO 2024 - Palo Seco (Termo) - Unidades 1 a 4</t>
  </si>
  <si>
    <t>Cómputo de Emisiones Actuales AÑO 2024 - Palo Seco (Turbinas) - Bloques 1 a 3</t>
  </si>
  <si>
    <t>0.36 lb/MMBtu (CD Relatively Maintained NOx Target)</t>
  </si>
  <si>
    <t>0.88 lb/MMBTU</t>
  </si>
  <si>
    <t>0.00041 l/MMBTU</t>
  </si>
  <si>
    <t>HAP,s (Pb)</t>
  </si>
  <si>
    <t>0.000014 lb MMBTU</t>
  </si>
  <si>
    <t>24.632 lb/gal</t>
  </si>
  <si>
    <t>Cómputo de Emisiones Actuales para Distillate OIl y Gas Natural - Palo Seco AÑO 2025 - MobilePacs</t>
  </si>
  <si>
    <t>[Consumo de Combustible #2 en galones/year) * ( Valor Calorífico BC 0.138 MMBtu/gal)</t>
  </si>
  <si>
    <t>+ (Consumo Gas Natural SCF/year) * (Valor Calorífico GN 1,026 MMBtu/SCF*10^6)]</t>
  </si>
  <si>
    <t xml:space="preserve">galones  </t>
  </si>
  <si>
    <t xml:space="preserve">de construcción PFE-31-0810-0455-II-C, con fecha del 21 de marzo de 2012, para la quema dual </t>
  </si>
  <si>
    <t>Vega Baja FO#2 2025</t>
  </si>
  <si>
    <t>Daguao FO#2 2025</t>
  </si>
  <si>
    <t>YabucoaFO#2 2025</t>
  </si>
  <si>
    <t>Jobos FO#2 2025</t>
  </si>
  <si>
    <t xml:space="preserve"> % Azufre</t>
  </si>
  <si>
    <t>VBGT1-1</t>
  </si>
  <si>
    <t>VBGT1-2</t>
  </si>
  <si>
    <t>DAGT1-1</t>
  </si>
  <si>
    <t>DAGT1-2</t>
  </si>
  <si>
    <t>Mon th</t>
  </si>
  <si>
    <t>YAGT1-1</t>
  </si>
  <si>
    <t>YAGT1-2</t>
  </si>
  <si>
    <t>JOGT1-1</t>
  </si>
  <si>
    <t>JOGT1-2</t>
  </si>
  <si>
    <t>DAGGT1-1</t>
  </si>
  <si>
    <t>DAGGT1-2</t>
  </si>
  <si>
    <t>MAG-5</t>
  </si>
  <si>
    <t>MAG-6</t>
  </si>
  <si>
    <t>MAG-7</t>
  </si>
  <si>
    <t>MAG-8</t>
  </si>
  <si>
    <t>PROMEDIO ANNUAL</t>
  </si>
  <si>
    <t>Total gal/yr</t>
  </si>
  <si>
    <t>Mayaguez FO#2 2025</t>
  </si>
  <si>
    <t>Cambalache FO#2 2025</t>
  </si>
  <si>
    <t>CAMB 1</t>
  </si>
  <si>
    <t>CAMB 2</t>
  </si>
  <si>
    <t>CAMB 3</t>
  </si>
  <si>
    <t xml:space="preserve">                                                                                                                                                 </t>
  </si>
  <si>
    <t>Cómputo de Emisiones 2025 - Central Cambalache Unidad 2</t>
  </si>
  <si>
    <t>Cómputo de Emisiones 2025 - Central Cambalache Unidad 3</t>
  </si>
  <si>
    <t>Horas de Operacion @ 60 %</t>
  </si>
  <si>
    <t>Cambalache 1</t>
  </si>
  <si>
    <t>Cambalache 2</t>
  </si>
  <si>
    <t>Cambalache 3</t>
  </si>
  <si>
    <t>Cálculos con los Factores de Emisión AP-42</t>
  </si>
  <si>
    <t>PM10        =</t>
  </si>
  <si>
    <t>[(51 lb/hr @100% carga * horas @100% carga)+(51 lb/hr @60% carga1 *  horas @ 60%carga)]/(2000 ton/lb)</t>
  </si>
  <si>
    <t>SOx         =</t>
  </si>
  <si>
    <t>[(137 lb/hr @100% carga * horas @100% carga)+(137 lb/hr @60% carga1 *  horas @60% carga)]/(2000 ton/lb)</t>
  </si>
  <si>
    <t>CEMS</t>
  </si>
  <si>
    <t>VOC        =</t>
  </si>
  <si>
    <t>[(13 lb/hr @100% carga * horas @100% carga)+(11 lb/hr @60% carga1 *  horas @60% carga)]/(2000 ton/lb)</t>
  </si>
  <si>
    <t>Pb           =</t>
  </si>
  <si>
    <t>[(0.023 lb/hr @100% carga*horas @100% carga)+(0.016 lb/hr @60% carga1*horas @60% carga)]/(2000 ton/lb)</t>
  </si>
  <si>
    <t>Combustible</t>
  </si>
  <si>
    <t>gal/año</t>
  </si>
  <si>
    <t>Hrs @100% Carga</t>
  </si>
  <si>
    <t>hrs</t>
  </si>
  <si>
    <t>Hrs @60% Carga</t>
  </si>
  <si>
    <t>Horas de Operacion @ 100 %</t>
  </si>
  <si>
    <t xml:space="preserve">horas     </t>
  </si>
  <si>
    <t>horas</t>
  </si>
  <si>
    <t>Cambalache Emissions 2025
As reported in CEMS</t>
  </si>
  <si>
    <t>NOx (lb)</t>
  </si>
  <si>
    <t>CO (lb)</t>
  </si>
  <si>
    <t>NOx (lb) UNIT 2</t>
  </si>
  <si>
    <t>NOx (lb) UNIT 3</t>
  </si>
  <si>
    <t>TOTAL U-2 &amp; 3</t>
  </si>
  <si>
    <t>CO (lb) UNIT 2</t>
  </si>
  <si>
    <t>CO (lb) UNIT 3</t>
  </si>
  <si>
    <t>Total (lb/yr)</t>
  </si>
  <si>
    <t>Total (ton/yr)</t>
  </si>
  <si>
    <t>TOTAL COMBINED</t>
  </si>
  <si>
    <t>Cómputo de Emisiones Actuales AÑO 2025- Daguao Unidad 1</t>
  </si>
  <si>
    <t>Cómputo de Emisiones Actuales AÑO 2025- Daguao Unidad 2</t>
  </si>
  <si>
    <t>0.012 lb/MMBTU</t>
  </si>
  <si>
    <t>gal/yr</t>
  </si>
  <si>
    <t>galones</t>
  </si>
  <si>
    <t>Cómputo de Emisiones Actuales AÑO 2025 - YAGT1-1</t>
  </si>
  <si>
    <t>Cómputo de Emisiones Actuales AÑO 2025 - YAGT1-2</t>
  </si>
  <si>
    <t>AP-42 Fifth Edition, Volume I, Chapter 3.1</t>
  </si>
  <si>
    <t>Stationary Internal Combustion Sources</t>
  </si>
  <si>
    <t>lb/MMBTU</t>
  </si>
  <si>
    <t>*S lb/MMBTU</t>
  </si>
  <si>
    <t>(Unidades limitadas a 2,600 hrs de operación anual)</t>
  </si>
  <si>
    <t>Cómputo de Emisiones Actuales AÑO 2025 - Vega Baja VBGT1-1</t>
  </si>
  <si>
    <t>Cómputo de Emisiones Actuales AÑO 2025 - Vega Baja VBGT1-2</t>
  </si>
  <si>
    <t xml:space="preserve">AP-42, Fifth Edition, Volume I, Chapter 3.1: </t>
  </si>
  <si>
    <t>Cómputo de Emisiones Actuales AÑO 2025 - JOGT1-1</t>
  </si>
  <si>
    <t>Cómputo de Emisiones Actuales AÑO 2025 - JOGT1-2</t>
  </si>
  <si>
    <t>(Units limited to 2,600 hrs of operation per year)</t>
  </si>
  <si>
    <t>Cómputo de Emisiones Actuales AÑO 2024- Mayagüez MAYGT5</t>
  </si>
  <si>
    <t>Cómputo de Emisiones Actuales AÑO 2025- Mayagüez MAYGT6</t>
  </si>
  <si>
    <t>Cómputo de Emisiones Actuales AÑO 2025- Mayagüez MAYGT7</t>
  </si>
  <si>
    <t>Cómputo de Emisiones Actuales AÑO 2025- Mayagüez MAYGT8</t>
  </si>
  <si>
    <t>Factores de Emisión AP-42 Sect. 3.1</t>
  </si>
  <si>
    <t>0.288 lb/MMBTU</t>
  </si>
  <si>
    <t>Permit Limit (PFE-50-0307-0286-I-II-C)</t>
  </si>
  <si>
    <t>gals/year</t>
  </si>
  <si>
    <t>Cómputo de Emisiones Actuales AÑO 2024- Mayagüez MAYGT8</t>
  </si>
  <si>
    <t>Cómputo de Emisiones Actuales AÑO 2024- Mayagüez MAYGT6</t>
  </si>
  <si>
    <t>Cómputo de Emisiones Actuales AÑO 2024- Mayagüez MAYGT7</t>
  </si>
  <si>
    <t>Emisiones mensuales 2025</t>
  </si>
  <si>
    <t>Concepto</t>
  </si>
  <si>
    <t>Unidad</t>
  </si>
  <si>
    <t>SOx / SO2</t>
  </si>
  <si>
    <t>Detalle por instalación: entradas mensuales y emisiones calculadas</t>
  </si>
  <si>
    <t>Costa Sur 5 y 6</t>
  </si>
  <si>
    <t>CS5 combustible #6</t>
  </si>
  <si>
    <t>CS5 gas natural</t>
  </si>
  <si>
    <t>CS5 azufre #6</t>
  </si>
  <si>
    <t>% peso</t>
  </si>
  <si>
    <t>CS6 combustible #6</t>
  </si>
  <si>
    <t>CS6 gas natural</t>
  </si>
  <si>
    <t>CS6 azufre #6</t>
  </si>
  <si>
    <t>Costa Sur turbinas 1-1 y 1-2</t>
  </si>
  <si>
    <t>Azufre #2 ponderado</t>
  </si>
  <si>
    <t>Vapor 7–8 combustible #6</t>
  </si>
  <si>
    <t>Vapor 9–10 combustible #6</t>
  </si>
  <si>
    <t>Azufre vapor (SJ9 activo)</t>
  </si>
  <si>
    <t>SJ5 combustible #2</t>
  </si>
  <si>
    <t>SJ5 gas natural</t>
  </si>
  <si>
    <t>SJ5 azufre #2</t>
  </si>
  <si>
    <t>SJ6 combustible #2</t>
  </si>
  <si>
    <t>SJ6 gas natural</t>
  </si>
  <si>
    <t>SJ6 azufre #2</t>
  </si>
  <si>
    <t>Azufre #6 ponderado</t>
  </si>
  <si>
    <t>Combustible #2 CC y turbinas</t>
  </si>
  <si>
    <t>Palo Seco (incluye MobilePacs)</t>
  </si>
  <si>
    <t>Turbinas combustible #2</t>
  </si>
  <si>
    <t>Turbinas azufre #2 ponderado</t>
  </si>
  <si>
    <t>MPs combustible #2</t>
  </si>
  <si>
    <t>MPs gas</t>
  </si>
  <si>
    <t>Unidad 2 combustible #2</t>
  </si>
  <si>
    <t>Unidad 2 horas al 100%</t>
  </si>
  <si>
    <t>h</t>
  </si>
  <si>
    <t>Unidad 2 horas al 60%</t>
  </si>
  <si>
    <t>Unidad 3 combustible #2</t>
  </si>
  <si>
    <t>Unidad 3 horas al 100%</t>
  </si>
  <si>
    <t>Unidad 3 horas al 60%</t>
  </si>
  <si>
    <t>NOx medido CEMS</t>
  </si>
  <si>
    <t>CO medido CEMS</t>
  </si>
  <si>
    <t>Daguao</t>
  </si>
  <si>
    <t>Unidad 1 combustible #2</t>
  </si>
  <si>
    <t>Unidad 1 azufre #2</t>
  </si>
  <si>
    <t>Unidad 2 azufre #2</t>
  </si>
  <si>
    <t>Unidad 5 combustible #2</t>
  </si>
  <si>
    <t>Unidad 5 azufre #2</t>
  </si>
  <si>
    <t>Unidad 6 combustible #2</t>
  </si>
  <si>
    <t>Unidad 6 azufre #2</t>
  </si>
  <si>
    <t>Unidad 7 combustible #2</t>
  </si>
  <si>
    <t>Unidad 7 azufre #2</t>
  </si>
  <si>
    <t>Unidad 8 combustible #2</t>
  </si>
  <si>
    <t>Unidad 8 azufre #2</t>
  </si>
  <si>
    <t>Tasas de emisión 2025</t>
  </si>
  <si>
    <t>Ene</t>
  </si>
  <si>
    <t>Feb</t>
  </si>
  <si>
    <t>Mar</t>
  </si>
  <si>
    <t>Abr</t>
  </si>
  <si>
    <t>Jun</t>
  </si>
  <si>
    <t>Jul</t>
  </si>
  <si>
    <t>Ago</t>
  </si>
  <si>
    <t>Sep</t>
  </si>
  <si>
    <t>Oct</t>
  </si>
  <si>
    <t>Nov</t>
  </si>
  <si>
    <t>Dic</t>
  </si>
  <si>
    <t>CO2e (complementario)</t>
  </si>
  <si>
    <t>Combustible incluido en cada tasa (MMBtu)</t>
  </si>
  <si>
    <t>Alcance general documentado</t>
  </si>
  <si>
    <t>Fuentes del agregado PM</t>
  </si>
  <si>
    <t>Fuentes del agregado PM10</t>
  </si>
  <si>
    <t>Fuentes del agregado PM2.5</t>
  </si>
  <si>
    <t>Fuentes del agregado H2SO4</t>
  </si>
  <si>
    <t>Emisiones tomadas de la hoja mensual (ton)</t>
  </si>
  <si>
    <t>ton cortas</t>
  </si>
  <si>
    <t>Emisiones usadas para calcular las tasas (ton)</t>
  </si>
  <si>
    <t>Factores del gas de MobilePacs</t>
  </si>
  <si>
    <t>Libras por tonelada corta</t>
  </si>
  <si>
    <t>lb/ton</t>
  </si>
  <si>
    <t>Btu por MMBtu</t>
  </si>
  <si>
    <t>Btu/MMBtu</t>
  </si>
  <si>
    <t>Galones por barril</t>
  </si>
  <si>
    <t>gal/bbl</t>
  </si>
  <si>
    <t>Cantidad de combustible consumido</t>
  </si>
  <si>
    <t>Costa Sur 5 · Bunker C</t>
  </si>
  <si>
    <t>Costa Sur 5 · gas natural</t>
  </si>
  <si>
    <t>Costa Sur 6 · Bunker C</t>
  </si>
  <si>
    <t>Costa Sur 6 · gas natural</t>
  </si>
  <si>
    <t>Costa Sur turbinas · diésel</t>
  </si>
  <si>
    <t>San Juan vapor · Bunker C</t>
  </si>
  <si>
    <t>San Juan 5 · diésel</t>
  </si>
  <si>
    <t>San Juan 5 · gas natural</t>
  </si>
  <si>
    <t>San Juan 6 · diésel</t>
  </si>
  <si>
    <t>San Juan 6 · gas natural</t>
  </si>
  <si>
    <t>Aguirre vapor · Bunker C</t>
  </si>
  <si>
    <t>Aguirre CC y turbinas · diésel</t>
  </si>
  <si>
    <t>Palo Seco vapor · Bunker C</t>
  </si>
  <si>
    <t>Palo Seco turbinas · diésel</t>
  </si>
  <si>
    <t>MobilePacs · diésel</t>
  </si>
  <si>
    <t>MobilePacs · gas natural</t>
  </si>
  <si>
    <t>Cambalache · diésel, ambas unidades</t>
  </si>
  <si>
    <t>Daguao · diésel</t>
  </si>
  <si>
    <t>Yabucoa · diésel</t>
  </si>
  <si>
    <t>Vega Baja · diésel</t>
  </si>
  <si>
    <t>Jobos · diésel</t>
  </si>
  <si>
    <t>Mayagüez · diésel</t>
  </si>
  <si>
    <t>Energía por unidad de combustible</t>
  </si>
  <si>
    <t>MMBtu/gal</t>
  </si>
  <si>
    <t>Btu/SCF</t>
  </si>
  <si>
    <t>Cantidad × energía por unidad = MMBtu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</si>
</sst>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(* #,##0.00_);_(* \(#,##0.00\);_(* \-??_);_(@_)"/>
    <numFmt numFmtId="165" formatCode="#,##0.0000_);[Red]\(#,##0.0000\)"/>
    <numFmt numFmtId="166" formatCode="#,##0.000_);[Red]\(#,##0.000\)"/>
    <numFmt numFmtId="167" formatCode="mmm\-yyyy"/>
    <numFmt numFmtId="168" formatCode="#,##0.0000"/>
    <numFmt numFmtId="169" formatCode="#,##0.00000"/>
    <numFmt numFmtId="170" formatCode="0.0000"/>
    <numFmt numFmtId="171" formatCode="0.000"/>
    <numFmt numFmtId="172" formatCode="00000"/>
    <numFmt numFmtId="173" formatCode="#,##0.000"/>
    <numFmt numFmtId="174" formatCode="0.0"/>
    <numFmt numFmtId="175" formatCode="0.00000"/>
    <numFmt numFmtId="176" formatCode="mmm"/>
    <numFmt numFmtId="177" formatCode="#,##0.000;[Red]\(#,##0.000\);0.000"/>
    <numFmt numFmtId="178" formatCode="0.000000"/>
    <numFmt numFmtId="179" formatCode="0.00000000"/>
    <numFmt numFmtId="180" formatCode="#,##0.000000"/>
    <numFmt numFmtId="181" formatCode="0.000000000"/>
  </numFmts>
  <fonts count="43" x14ac:knownFonts="1">
    <font>
      <sz val="10"/>
      <name val="Arial"/>
      <family val="2"/>
      <charset val="1"/>
    </font>
    <font>
      <sz val="11"/>
      <color theme="1"/>
      <name val="Calibri"/>
      <charset val="1"/>
    </font>
    <font>
      <sz val="11"/>
      <color theme="0"/>
      <name val="Calibri"/>
      <charset val="1"/>
    </font>
    <font>
      <sz val="11"/>
      <color rgb="FF9C0006"/>
      <name val="Calibri"/>
      <charset val="1"/>
    </font>
    <font>
      <b/>
      <sz val="11"/>
      <color rgb="FFFA7D00"/>
      <name val="Calibri"/>
      <charset val="1"/>
    </font>
    <font>
      <b/>
      <sz val="11"/>
      <color theme="0"/>
      <name val="Calibri"/>
      <charset val="1"/>
    </font>
    <font>
      <sz val="10"/>
      <name val="Arial"/>
      <charset val="1"/>
    </font>
    <font>
      <i/>
      <sz val="11"/>
      <color rgb="FF7F7F7F"/>
      <name val="Calibri"/>
      <charset val="1"/>
    </font>
    <font>
      <sz val="11"/>
      <color rgb="FF006100"/>
      <name val="Calibri"/>
      <charset val="1"/>
    </font>
    <font>
      <b/>
      <sz val="15"/>
      <color theme="3"/>
      <name val="Calibri"/>
      <charset val="1"/>
    </font>
    <font>
      <b/>
      <sz val="13"/>
      <color theme="3"/>
      <name val="Calibri"/>
      <charset val="1"/>
    </font>
    <font>
      <b/>
      <sz val="11"/>
      <color theme="3"/>
      <name val="Calibri"/>
      <charset val="1"/>
    </font>
    <font>
      <sz val="11"/>
      <color rgb="FF3F3F76"/>
      <name val="Calibri"/>
      <charset val="1"/>
    </font>
    <font>
      <sz val="11"/>
      <color rgb="FFFA7D00"/>
      <name val="Calibri"/>
      <charset val="1"/>
    </font>
    <font>
      <sz val="11"/>
      <color rgb="FF9C6500"/>
      <name val="Calibri"/>
      <charset val="1"/>
    </font>
    <font>
      <b/>
      <sz val="11"/>
      <color rgb="FF3F3F3F"/>
      <name val="Calibri"/>
      <charset val="1"/>
    </font>
    <font>
      <b/>
      <sz val="18"/>
      <color theme="3"/>
      <name val="Cambria"/>
      <charset val="1"/>
    </font>
    <font>
      <b/>
      <sz val="11"/>
      <color theme="1"/>
      <name val="Calibri"/>
      <charset val="1"/>
    </font>
    <font>
      <sz val="11"/>
      <color rgb="FFFF0000"/>
      <name val="Calibri"/>
      <charset val="1"/>
    </font>
    <font>
      <b/>
      <u/>
      <sz val="14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1"/>
      <name val="Calibri"/>
      <charset val="1"/>
    </font>
    <font>
      <sz val="10"/>
      <name val="Arial"/>
      <family val="2"/>
    </font>
    <font>
      <sz val="11"/>
      <name val="Calibri"/>
      <charset val="1"/>
    </font>
    <font>
      <sz val="11"/>
      <color rgb="FF000000"/>
      <name val="Calibri"/>
      <charset val="1"/>
    </font>
    <font>
      <sz val="11"/>
      <name val="Arial"/>
      <charset val="1"/>
    </font>
    <font>
      <b/>
      <sz val="11"/>
      <name val="Arial"/>
      <charset val="1"/>
    </font>
    <font>
      <b/>
      <sz val="10"/>
      <name val="Arial"/>
      <charset val="1"/>
    </font>
    <font>
      <b/>
      <sz val="10"/>
      <color theme="0"/>
      <name val="Arial"/>
      <charset val="1"/>
    </font>
    <font>
      <b/>
      <sz val="11"/>
      <color rgb="FFFF0000"/>
      <name val="Calibri"/>
      <charset val="1"/>
    </font>
    <font>
      <b/>
      <sz val="10"/>
      <color theme="1"/>
      <name val="Arial"/>
      <charset val="1"/>
    </font>
    <font>
      <b/>
      <sz val="11"/>
      <color rgb="FF000000"/>
      <name val="Calibri"/>
      <charset val="1"/>
    </font>
    <font>
      <sz val="8"/>
      <name val="Arial"/>
      <charset val="1"/>
    </font>
    <font>
      <sz val="10"/>
      <color theme="1"/>
      <name val="Arial"/>
      <charset val="1"/>
    </font>
    <font>
      <b/>
      <sz val="10"/>
      <color rgb="FFFF0000"/>
      <name val="Arial"/>
      <charset val="1"/>
    </font>
    <font>
      <b/>
      <sz val="10"/>
      <color rgb="FF222222"/>
      <name val="Poppins"/>
      <charset val="1"/>
    </font>
    <font>
      <sz val="10"/>
      <color rgb="FF222222"/>
      <name val="Poppins"/>
      <charset val="1"/>
    </font>
    <font>
      <sz val="11"/>
      <color rgb="FF222222"/>
      <name val="Calibri"/>
      <charset val="1"/>
    </font>
    <font>
      <sz val="10"/>
      <color theme="1"/>
      <name val="Poppins"/>
      <charset val="1"/>
    </font>
    <font>
      <i/>
      <sz val="10"/>
      <color rgb="FF222222"/>
      <name val="Poppins"/>
      <charset val="1"/>
    </font>
  </fonts>
  <fills count="40">
    <fill>
      <patternFill patternType="none"/>
    </fill>
    <fill>
      <patternFill patternType="gray125"/>
    </fill>
    <fill>
      <patternFill patternType="solid">
        <fgColor theme="4" tint="0.79979857783745845"/>
        <bgColor rgb="FFDBEEF4"/>
      </patternFill>
    </fill>
    <fill>
      <patternFill patternType="solid">
        <fgColor theme="5" tint="0.79979857783745845"/>
        <bgColor rgb="FFE6E0EC"/>
      </patternFill>
    </fill>
    <fill>
      <patternFill patternType="solid">
        <fgColor theme="6" tint="0.79979857783745845"/>
        <bgColor rgb="FFF2F2F2"/>
      </patternFill>
    </fill>
    <fill>
      <patternFill patternType="solid">
        <fgColor theme="7" tint="0.79979857783745845"/>
        <bgColor rgb="FFE7E6E6"/>
      </patternFill>
    </fill>
    <fill>
      <patternFill patternType="solid">
        <fgColor theme="8" tint="0.79979857783745845"/>
        <bgColor rgb="FFDCE6F2"/>
      </patternFill>
    </fill>
    <fill>
      <patternFill patternType="solid">
        <fgColor theme="9" tint="0.79979857783745845"/>
        <bgColor rgb="FFFFF1CC"/>
      </patternFill>
    </fill>
    <fill>
      <patternFill patternType="solid">
        <fgColor theme="4" tint="0.59978026673177287"/>
        <bgColor rgb="FFAEC8E3"/>
      </patternFill>
    </fill>
    <fill>
      <patternFill patternType="solid">
        <fgColor theme="5" tint="0.59978026673177287"/>
        <bgColor rgb="FFFAC090"/>
      </patternFill>
    </fill>
    <fill>
      <patternFill patternType="solid">
        <fgColor theme="6" tint="0.59978026673177287"/>
        <bgColor rgb="FFD9D9D9"/>
      </patternFill>
    </fill>
    <fill>
      <patternFill patternType="solid">
        <fgColor theme="7" tint="0.59978026673177287"/>
        <bgColor rgb="FFC0C0C0"/>
      </patternFill>
    </fill>
    <fill>
      <patternFill patternType="solid">
        <fgColor theme="8" tint="0.59978026673177287"/>
        <bgColor rgb="FFB9CDE5"/>
      </patternFill>
    </fill>
    <fill>
      <patternFill patternType="solid">
        <fgColor theme="9" tint="0.59978026673177287"/>
        <bgColor rgb="FFFFCC99"/>
      </patternFill>
    </fill>
    <fill>
      <patternFill patternType="solid">
        <fgColor theme="4" tint="0.39979247413556324"/>
        <bgColor rgb="FF93CDDD"/>
      </patternFill>
    </fill>
    <fill>
      <patternFill patternType="solid">
        <fgColor theme="5" tint="0.39979247413556324"/>
        <bgColor rgb="FFB3A2C7"/>
      </patternFill>
    </fill>
    <fill>
      <patternFill patternType="solid">
        <fgColor theme="6" tint="0.39979247413556324"/>
        <bgColor rgb="FFD7E4BD"/>
      </patternFill>
    </fill>
    <fill>
      <patternFill patternType="solid">
        <fgColor theme="7" tint="0.39979247413556324"/>
        <bgColor rgb="FFA9A9A9"/>
      </patternFill>
    </fill>
    <fill>
      <patternFill patternType="solid">
        <fgColor theme="8" tint="0.39979247413556324"/>
        <bgColor rgb="FFAEC8E3"/>
      </patternFill>
    </fill>
    <fill>
      <patternFill patternType="solid">
        <fgColor theme="9" tint="0.39979247413556324"/>
        <bgColor rgb="FFFFCC99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6500"/>
      </patternFill>
    </fill>
    <fill>
      <patternFill patternType="solid">
        <fgColor theme="6"/>
        <bgColor rgb="FFA9A9A9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A7D00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F0F3F6"/>
      </patternFill>
    </fill>
    <fill>
      <patternFill patternType="solid">
        <fgColor rgb="FFA9A9A9"/>
        <bgColor rgb="FFB3A2C7"/>
      </patternFill>
    </fill>
    <fill>
      <patternFill patternType="solid">
        <fgColor rgb="FFC6EFCE"/>
        <bgColor rgb="FFD7E4BD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FF1CC"/>
      </patternFill>
    </fill>
    <fill>
      <patternFill patternType="solid">
        <fgColor rgb="FFFFFFCC"/>
        <bgColor rgb="FFFFF1CC"/>
      </patternFill>
    </fill>
    <fill>
      <patternFill patternType="solid">
        <fgColor theme="0"/>
        <bgColor rgb="FFF5F6F7"/>
      </patternFill>
    </fill>
    <fill>
      <patternFill patternType="solid">
        <fgColor theme="0" tint="-0.14999847407452621"/>
        <bgColor rgb="FFE6E0EC"/>
      </patternFill>
    </fill>
    <fill>
      <patternFill patternType="solid">
        <fgColor rgb="FFFFFF00"/>
        <bgColor rgb="FFFFEB9C"/>
      </patternFill>
    </fill>
    <fill>
      <patternFill patternType="solid">
        <fgColor rgb="FFF0F3F6"/>
        <bgColor rgb="FFF2F2F2"/>
      </patternFill>
    </fill>
    <fill>
      <patternFill patternType="solid">
        <fgColor rgb="FFF5F6F7"/>
        <bgColor rgb="FFF0F3F6"/>
      </patternFill>
    </fill>
    <fill>
      <patternFill patternType="solid">
        <fgColor rgb="FFE7E6E6"/>
        <bgColor rgb="FFE6E0EC"/>
      </patternFill>
    </fill>
    <fill>
      <patternFill patternType="solid">
        <fgColor rgb="FFE9EFF5"/>
        <bgColor rgb="FFF0F3F6"/>
      </patternFill>
    </fill>
  </fills>
  <borders count="10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7111117893003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double">
        <color rgb="FFFA7D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rgb="FFC0C0C0"/>
      </bottom>
      <diagonal style="medium">
        <color auto="1"/>
      </diagonal>
    </border>
    <border diagonalDown="1">
      <left style="thin">
        <color auto="1"/>
      </left>
      <right style="thin">
        <color auto="1"/>
      </right>
      <top style="medium">
        <color auto="1"/>
      </top>
      <bottom style="thin">
        <color rgb="FFC0C0C0"/>
      </bottom>
      <diagonal style="medium">
        <color auto="1"/>
      </diagonal>
    </border>
    <border diagonalDown="1">
      <left style="thin">
        <color auto="1"/>
      </left>
      <right style="medium">
        <color auto="1"/>
      </right>
      <top style="medium">
        <color auto="1"/>
      </top>
      <bottom style="thin">
        <color rgb="FFC0C0C0"/>
      </bottom>
      <diagonal style="medium">
        <color auto="1"/>
      </diagonal>
    </border>
    <border diagonalDown="1">
      <left style="medium">
        <color auto="1"/>
      </left>
      <right style="thin">
        <color auto="1"/>
      </right>
      <top style="thin">
        <color rgb="FFC0C0C0"/>
      </top>
      <bottom style="thin">
        <color rgb="FFC0C0C0"/>
      </bottom>
      <diagonal style="medium">
        <color auto="1"/>
      </diagonal>
    </border>
    <border diagonalDown="1">
      <left style="thin">
        <color auto="1"/>
      </left>
      <right style="thin">
        <color auto="1"/>
      </right>
      <top style="thin">
        <color rgb="FFC0C0C0"/>
      </top>
      <bottom style="thin">
        <color rgb="FFC0C0C0"/>
      </bottom>
      <diagonal style="medium">
        <color auto="1"/>
      </diagonal>
    </border>
    <border diagonalDown="1">
      <left style="thin">
        <color auto="1"/>
      </left>
      <right style="medium">
        <color auto="1"/>
      </right>
      <top style="thin">
        <color rgb="FFC0C0C0"/>
      </top>
      <bottom style="thin">
        <color rgb="FFC0C0C0"/>
      </bottom>
      <diagonal style="medium">
        <color auto="1"/>
      </diagonal>
    </border>
    <border>
      <left style="medium">
        <color auto="1"/>
      </left>
      <right style="thin">
        <color auto="1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medium">
        <color auto="1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C0C0C0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C0C0C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C0C0C0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rgb="FF212222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212222"/>
      </top>
      <bottom/>
      <diagonal/>
    </border>
    <border>
      <left/>
      <right/>
      <top/>
      <bottom style="thin">
        <color rgb="FFAEC8E3"/>
      </bottom>
      <diagonal/>
    </border>
    <border>
      <left/>
      <right/>
      <top/>
      <bottom style="thin">
        <color rgb="FF233E5B"/>
      </bottom>
      <diagonal/>
    </border>
  </borders>
  <cellStyleXfs count="48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9" borderId="0"/>
    <xf numFmtId="0" fontId="2" fillId="20" borderId="0"/>
    <xf numFmtId="0" fontId="2" fillId="21" borderId="0"/>
    <xf numFmtId="0" fontId="2" fillId="22" borderId="0"/>
    <xf numFmtId="0" fontId="2" fillId="23" borderId="0"/>
    <xf numFmtId="0" fontId="2" fillId="24" borderId="0"/>
    <xf numFmtId="0" fontId="2" fillId="25" borderId="0"/>
    <xf numFmtId="0" fontId="3" fillId="26" borderId="0"/>
    <xf numFmtId="0" fontId="4" fillId="27" borderId="1"/>
    <xf numFmtId="0" fontId="5" fillId="28" borderId="2"/>
    <xf numFmtId="164" fontId="6" fillId="0" borderId="0"/>
    <xf numFmtId="0" fontId="7" fillId="0" borderId="0"/>
    <xf numFmtId="0" fontId="8" fillId="29" borderId="0"/>
    <xf numFmtId="0" fontId="9" fillId="0" borderId="3"/>
    <xf numFmtId="0" fontId="10" fillId="0" borderId="4"/>
    <xf numFmtId="0" fontId="11" fillId="0" borderId="5"/>
    <xf numFmtId="0" fontId="11" fillId="0" borderId="0"/>
    <xf numFmtId="0" fontId="12" fillId="30" borderId="1"/>
    <xf numFmtId="0" fontId="13" fillId="0" borderId="6"/>
    <xf numFmtId="0" fontId="14" fillId="31" borderId="0"/>
    <xf numFmtId="0" fontId="6" fillId="0" borderId="0">
      <alignment vertical="top"/>
    </xf>
    <xf numFmtId="0" fontId="1" fillId="0" borderId="0"/>
    <xf numFmtId="0" fontId="6" fillId="0" borderId="0">
      <alignment vertical="top"/>
    </xf>
    <xf numFmtId="0" fontId="6" fillId="0" borderId="0">
      <alignment vertical="top"/>
    </xf>
    <xf numFmtId="0" fontId="1" fillId="32" borderId="7"/>
    <xf numFmtId="0" fontId="15" fillId="27" borderId="8"/>
    <xf numFmtId="9" fontId="6" fillId="0" borderId="0"/>
    <xf numFmtId="0" fontId="16" fillId="0" borderId="0"/>
    <xf numFmtId="0" fontId="17" fillId="0" borderId="9"/>
    <xf numFmtId="0" fontId="18" fillId="0" borderId="0"/>
  </cellStyleXfs>
  <cellXfs count="612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/>
    <xf numFmtId="40" fontId="19" fillId="0" borderId="0" xfId="0" applyNumberFormat="1" applyFont="1" applyAlignment="1">
      <alignment horizontal="center"/>
    </xf>
    <xf numFmtId="40" fontId="19" fillId="0" borderId="0" xfId="0" applyNumberFormat="1" applyFont="1" applyAlignment="1">
      <alignment horizontal="center" wrapText="1"/>
    </xf>
    <xf numFmtId="0" fontId="22" fillId="0" borderId="0" xfId="0" applyFont="1"/>
    <xf numFmtId="40" fontId="21" fillId="0" borderId="0" xfId="0" applyNumberFormat="1" applyFont="1"/>
    <xf numFmtId="40" fontId="23" fillId="0" borderId="0" xfId="0" applyNumberFormat="1" applyFont="1"/>
    <xf numFmtId="40" fontId="20" fillId="0" borderId="0" xfId="0" applyNumberFormat="1" applyFont="1"/>
    <xf numFmtId="0" fontId="20" fillId="0" borderId="0" xfId="0" applyFont="1" applyAlignment="1">
      <alignment horizontal="right"/>
    </xf>
    <xf numFmtId="0" fontId="24" fillId="0" borderId="0" xfId="0" applyFont="1"/>
    <xf numFmtId="40" fontId="21" fillId="0" borderId="10" xfId="0" applyNumberFormat="1" applyFont="1" applyBorder="1"/>
    <xf numFmtId="40" fontId="21" fillId="0" borderId="11" xfId="0" applyNumberFormat="1" applyFont="1" applyBorder="1"/>
    <xf numFmtId="165" fontId="20" fillId="0" borderId="0" xfId="0" applyNumberFormat="1" applyFont="1" applyAlignment="1">
      <alignment horizontal="right"/>
    </xf>
    <xf numFmtId="40" fontId="22" fillId="0" borderId="12" xfId="0" applyNumberFormat="1" applyFont="1" applyBorder="1"/>
    <xf numFmtId="40" fontId="22" fillId="0" borderId="12" xfId="0" applyNumberFormat="1" applyFont="1" applyBorder="1" applyAlignment="1">
      <alignment horizontal="right"/>
    </xf>
    <xf numFmtId="40" fontId="22" fillId="0" borderId="11" xfId="0" applyNumberFormat="1" applyFont="1" applyBorder="1"/>
    <xf numFmtId="166" fontId="20" fillId="0" borderId="0" xfId="0" applyNumberFormat="1" applyFont="1"/>
    <xf numFmtId="166" fontId="20" fillId="0" borderId="0" xfId="0" applyNumberFormat="1" applyFont="1" applyAlignment="1">
      <alignment horizontal="right"/>
    </xf>
    <xf numFmtId="165" fontId="20" fillId="0" borderId="0" xfId="0" applyNumberFormat="1" applyFont="1"/>
    <xf numFmtId="40" fontId="21" fillId="0" borderId="0" xfId="0" applyNumberFormat="1" applyFont="1" applyAlignment="1">
      <alignment horizontal="center"/>
    </xf>
    <xf numFmtId="40" fontId="20" fillId="0" borderId="0" xfId="0" applyNumberFormat="1" applyFont="1" applyAlignment="1">
      <alignment horizontal="right"/>
    </xf>
    <xf numFmtId="40" fontId="21" fillId="0" borderId="10" xfId="0" applyNumberFormat="1" applyFont="1" applyBorder="1" applyAlignment="1">
      <alignment horizontal="right"/>
    </xf>
    <xf numFmtId="0" fontId="26" fillId="33" borderId="0" xfId="0" applyFont="1" applyFill="1"/>
    <xf numFmtId="0" fontId="24" fillId="33" borderId="13" xfId="0" applyFont="1" applyFill="1" applyBorder="1" applyAlignment="1">
      <alignment horizontal="center"/>
    </xf>
    <xf numFmtId="0" fontId="24" fillId="33" borderId="14" xfId="0" applyFont="1" applyFill="1" applyBorder="1" applyAlignment="1">
      <alignment horizontal="center"/>
    </xf>
    <xf numFmtId="0" fontId="24" fillId="33" borderId="13" xfId="0" applyFont="1" applyFill="1" applyBorder="1"/>
    <xf numFmtId="0" fontId="24" fillId="33" borderId="16" xfId="0" applyFont="1" applyFill="1" applyBorder="1" applyAlignment="1">
      <alignment horizontal="center"/>
    </xf>
    <xf numFmtId="0" fontId="24" fillId="33" borderId="17" xfId="0" applyFont="1" applyFill="1" applyBorder="1" applyAlignment="1">
      <alignment horizontal="center"/>
    </xf>
    <xf numFmtId="0" fontId="24" fillId="33" borderId="18" xfId="0" applyFont="1" applyFill="1" applyBorder="1" applyAlignment="1">
      <alignment horizontal="center"/>
    </xf>
    <xf numFmtId="0" fontId="24" fillId="33" borderId="19" xfId="0" applyFont="1" applyFill="1" applyBorder="1" applyAlignment="1">
      <alignment horizontal="center"/>
    </xf>
    <xf numFmtId="0" fontId="24" fillId="33" borderId="20" xfId="0" applyFont="1" applyFill="1" applyBorder="1" applyAlignment="1">
      <alignment horizontal="center"/>
    </xf>
    <xf numFmtId="167" fontId="26" fillId="0" borderId="21" xfId="0" applyNumberFormat="1" applyFont="1" applyBorder="1" applyAlignment="1">
      <alignment horizontal="center" wrapText="1"/>
    </xf>
    <xf numFmtId="4" fontId="26" fillId="33" borderId="21" xfId="0" applyNumberFormat="1" applyFont="1" applyFill="1" applyBorder="1" applyAlignment="1">
      <alignment horizontal="center" wrapText="1"/>
    </xf>
    <xf numFmtId="4" fontId="26" fillId="0" borderId="22" xfId="0" applyNumberFormat="1" applyFont="1" applyBorder="1" applyAlignment="1">
      <alignment horizontal="center" wrapText="1"/>
    </xf>
    <xf numFmtId="4" fontId="26" fillId="0" borderId="23" xfId="0" applyNumberFormat="1" applyFont="1" applyBorder="1" applyAlignment="1">
      <alignment horizontal="center" wrapText="1"/>
    </xf>
    <xf numFmtId="4" fontId="26" fillId="33" borderId="24" xfId="0" applyNumberFormat="1" applyFont="1" applyFill="1" applyBorder="1" applyAlignment="1">
      <alignment horizontal="center" wrapText="1"/>
    </xf>
    <xf numFmtId="4" fontId="26" fillId="33" borderId="25" xfId="0" applyNumberFormat="1" applyFont="1" applyFill="1" applyBorder="1" applyAlignment="1">
      <alignment horizontal="center" wrapText="1"/>
    </xf>
    <xf numFmtId="167" fontId="26" fillId="0" borderId="26" xfId="0" applyNumberFormat="1" applyFont="1" applyBorder="1" applyAlignment="1">
      <alignment horizontal="center" wrapText="1"/>
    </xf>
    <xf numFmtId="4" fontId="26" fillId="33" borderId="26" xfId="0" applyNumberFormat="1" applyFont="1" applyFill="1" applyBorder="1" applyAlignment="1">
      <alignment horizontal="center" wrapText="1"/>
    </xf>
    <xf numFmtId="4" fontId="26" fillId="0" borderId="27" xfId="0" applyNumberFormat="1" applyFont="1" applyBorder="1" applyAlignment="1">
      <alignment horizontal="center" wrapText="1"/>
    </xf>
    <xf numFmtId="4" fontId="26" fillId="0" borderId="28" xfId="0" applyNumberFormat="1" applyFont="1" applyBorder="1" applyAlignment="1">
      <alignment horizontal="center" wrapText="1"/>
    </xf>
    <xf numFmtId="4" fontId="26" fillId="33" borderId="29" xfId="0" applyNumberFormat="1" applyFont="1" applyFill="1" applyBorder="1" applyAlignment="1">
      <alignment horizontal="center" wrapText="1"/>
    </xf>
    <xf numFmtId="4" fontId="26" fillId="0" borderId="30" xfId="0" applyNumberFormat="1" applyFont="1" applyBorder="1" applyAlignment="1">
      <alignment horizontal="center" wrapText="1"/>
    </xf>
    <xf numFmtId="4" fontId="26" fillId="33" borderId="31" xfId="0" applyNumberFormat="1" applyFont="1" applyFill="1" applyBorder="1" applyAlignment="1">
      <alignment horizontal="center" wrapText="1"/>
    </xf>
    <xf numFmtId="167" fontId="26" fillId="0" borderId="32" xfId="0" applyNumberFormat="1" applyFont="1" applyBorder="1" applyAlignment="1">
      <alignment horizontal="center" wrapText="1"/>
    </xf>
    <xf numFmtId="4" fontId="26" fillId="33" borderId="32" xfId="0" applyNumberFormat="1" applyFont="1" applyFill="1" applyBorder="1" applyAlignment="1">
      <alignment horizontal="center" wrapText="1"/>
    </xf>
    <xf numFmtId="4" fontId="26" fillId="0" borderId="33" xfId="0" applyNumberFormat="1" applyFont="1" applyBorder="1" applyAlignment="1">
      <alignment horizontal="center" wrapText="1"/>
    </xf>
    <xf numFmtId="4" fontId="26" fillId="0" borderId="34" xfId="0" applyNumberFormat="1" applyFont="1" applyBorder="1" applyAlignment="1">
      <alignment horizontal="center" wrapText="1"/>
    </xf>
    <xf numFmtId="4" fontId="26" fillId="33" borderId="35" xfId="0" applyNumberFormat="1" applyFont="1" applyFill="1" applyBorder="1" applyAlignment="1">
      <alignment horizontal="center" wrapText="1"/>
    </xf>
    <xf numFmtId="4" fontId="24" fillId="33" borderId="13" xfId="0" applyNumberFormat="1" applyFont="1" applyFill="1" applyBorder="1" applyAlignment="1">
      <alignment horizontal="center"/>
    </xf>
    <xf numFmtId="4" fontId="24" fillId="0" borderId="13" xfId="0" applyNumberFormat="1" applyFont="1" applyBorder="1" applyAlignment="1">
      <alignment horizontal="center"/>
    </xf>
    <xf numFmtId="2" fontId="24" fillId="33" borderId="13" xfId="0" applyNumberFormat="1" applyFont="1" applyFill="1" applyBorder="1" applyAlignment="1">
      <alignment horizontal="center"/>
    </xf>
    <xf numFmtId="2" fontId="24" fillId="0" borderId="36" xfId="0" applyNumberFormat="1" applyFont="1" applyBorder="1" applyAlignment="1">
      <alignment horizontal="center"/>
    </xf>
    <xf numFmtId="4" fontId="26" fillId="33" borderId="0" xfId="0" applyNumberFormat="1" applyFont="1" applyFill="1"/>
    <xf numFmtId="167" fontId="26" fillId="33" borderId="21" xfId="0" applyNumberFormat="1" applyFont="1" applyFill="1" applyBorder="1" applyAlignment="1">
      <alignment horizontal="center" wrapText="1"/>
    </xf>
    <xf numFmtId="4" fontId="26" fillId="0" borderId="21" xfId="0" applyNumberFormat="1" applyFont="1" applyBorder="1" applyAlignment="1">
      <alignment horizontal="center" wrapText="1"/>
    </xf>
    <xf numFmtId="168" fontId="27" fillId="0" borderId="21" xfId="0" applyNumberFormat="1" applyFont="1" applyBorder="1" applyAlignment="1">
      <alignment horizontal="center" wrapText="1"/>
    </xf>
    <xf numFmtId="4" fontId="26" fillId="33" borderId="39" xfId="0" applyNumberFormat="1" applyFont="1" applyFill="1" applyBorder="1" applyAlignment="1">
      <alignment horizontal="center" wrapText="1"/>
    </xf>
    <xf numFmtId="167" fontId="26" fillId="33" borderId="26" xfId="0" applyNumberFormat="1" applyFont="1" applyFill="1" applyBorder="1" applyAlignment="1">
      <alignment horizontal="center" wrapText="1"/>
    </xf>
    <xf numFmtId="4" fontId="26" fillId="0" borderId="26" xfId="0" applyNumberFormat="1" applyFont="1" applyBorder="1" applyAlignment="1">
      <alignment horizontal="center" wrapText="1"/>
    </xf>
    <xf numFmtId="168" fontId="27" fillId="0" borderId="26" xfId="0" applyNumberFormat="1" applyFont="1" applyBorder="1" applyAlignment="1">
      <alignment horizontal="center" wrapText="1"/>
    </xf>
    <xf numFmtId="167" fontId="26" fillId="33" borderId="32" xfId="0" applyNumberFormat="1" applyFont="1" applyFill="1" applyBorder="1" applyAlignment="1">
      <alignment horizontal="center" wrapText="1"/>
    </xf>
    <xf numFmtId="4" fontId="26" fillId="0" borderId="32" xfId="0" applyNumberFormat="1" applyFont="1" applyBorder="1" applyAlignment="1">
      <alignment horizontal="center" wrapText="1"/>
    </xf>
    <xf numFmtId="168" fontId="27" fillId="0" borderId="32" xfId="0" applyNumberFormat="1" applyFont="1" applyBorder="1" applyAlignment="1">
      <alignment horizontal="center" wrapText="1"/>
    </xf>
    <xf numFmtId="4" fontId="17" fillId="0" borderId="13" xfId="0" applyNumberFormat="1" applyFont="1" applyBorder="1" applyAlignment="1">
      <alignment horizontal="center"/>
    </xf>
    <xf numFmtId="169" fontId="17" fillId="0" borderId="13" xfId="0" applyNumberFormat="1" applyFont="1" applyBorder="1" applyAlignment="1">
      <alignment horizontal="center"/>
    </xf>
    <xf numFmtId="2" fontId="26" fillId="33" borderId="0" xfId="0" applyNumberFormat="1" applyFont="1" applyFill="1"/>
    <xf numFmtId="4" fontId="28" fillId="0" borderId="21" xfId="0" applyNumberFormat="1" applyFont="1" applyBorder="1" applyAlignment="1">
      <alignment horizontal="center"/>
    </xf>
    <xf numFmtId="170" fontId="26" fillId="0" borderId="21" xfId="0" applyNumberFormat="1" applyFont="1" applyBorder="1" applyAlignment="1">
      <alignment horizontal="center"/>
    </xf>
    <xf numFmtId="4" fontId="28" fillId="0" borderId="26" xfId="0" applyNumberFormat="1" applyFont="1" applyBorder="1" applyAlignment="1">
      <alignment horizontal="center"/>
    </xf>
    <xf numFmtId="170" fontId="26" fillId="0" borderId="26" xfId="0" applyNumberFormat="1" applyFont="1" applyBorder="1" applyAlignment="1">
      <alignment horizontal="center"/>
    </xf>
    <xf numFmtId="4" fontId="28" fillId="34" borderId="26" xfId="0" applyNumberFormat="1" applyFont="1" applyFill="1" applyBorder="1" applyAlignment="1">
      <alignment horizontal="center"/>
    </xf>
    <xf numFmtId="170" fontId="26" fillId="34" borderId="26" xfId="0" applyNumberFormat="1" applyFont="1" applyFill="1" applyBorder="1" applyAlignment="1">
      <alignment horizontal="center"/>
    </xf>
    <xf numFmtId="4" fontId="28" fillId="34" borderId="32" xfId="0" applyNumberFormat="1" applyFont="1" applyFill="1" applyBorder="1" applyAlignment="1">
      <alignment horizontal="center"/>
    </xf>
    <xf numFmtId="170" fontId="26" fillId="34" borderId="32" xfId="0" applyNumberFormat="1" applyFont="1" applyFill="1" applyBorder="1" applyAlignment="1">
      <alignment horizontal="center"/>
    </xf>
    <xf numFmtId="4" fontId="29" fillId="33" borderId="13" xfId="0" applyNumberFormat="1" applyFont="1" applyFill="1" applyBorder="1" applyAlignment="1">
      <alignment horizontal="center"/>
    </xf>
    <xf numFmtId="170" fontId="24" fillId="0" borderId="13" xfId="0" applyNumberFormat="1" applyFont="1" applyBorder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" fontId="1" fillId="0" borderId="0" xfId="0" applyNumberFormat="1" applyFont="1"/>
    <xf numFmtId="4" fontId="1" fillId="0" borderId="0" xfId="0" applyNumberFormat="1" applyFont="1" applyAlignment="1">
      <alignment horizontal="center" vertical="center"/>
    </xf>
    <xf numFmtId="0" fontId="6" fillId="0" borderId="0" xfId="0" applyFont="1"/>
    <xf numFmtId="16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4" fontId="1" fillId="0" borderId="41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42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1" fontId="1" fillId="0" borderId="41" xfId="0" applyNumberFormat="1" applyFont="1" applyBorder="1" applyAlignment="1">
      <alignment horizontal="center" vertical="center"/>
    </xf>
    <xf numFmtId="171" fontId="1" fillId="0" borderId="0" xfId="0" applyNumberFormat="1" applyFont="1"/>
    <xf numFmtId="171" fontId="1" fillId="0" borderId="0" xfId="0" applyNumberFormat="1" applyFont="1" applyAlignment="1">
      <alignment horizontal="center" vertical="center"/>
    </xf>
    <xf numFmtId="170" fontId="1" fillId="0" borderId="0" xfId="0" applyNumberFormat="1" applyFont="1"/>
    <xf numFmtId="170" fontId="1" fillId="0" borderId="0" xfId="0" applyNumberFormat="1" applyFont="1" applyAlignment="1">
      <alignment horizontal="center" vertical="center"/>
    </xf>
    <xf numFmtId="170" fontId="1" fillId="0" borderId="4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0" fillId="0" borderId="46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4" fontId="6" fillId="0" borderId="41" xfId="0" applyNumberFormat="1" applyFont="1" applyBorder="1" applyAlignment="1">
      <alignment horizontal="center" vertical="center"/>
    </xf>
    <xf numFmtId="4" fontId="6" fillId="0" borderId="28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6" fillId="0" borderId="4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4" fontId="6" fillId="0" borderId="50" xfId="0" applyNumberFormat="1" applyFont="1" applyBorder="1" applyAlignment="1">
      <alignment horizontal="center" vertical="center"/>
    </xf>
    <xf numFmtId="4" fontId="6" fillId="0" borderId="3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vertical="center"/>
    </xf>
    <xf numFmtId="49" fontId="6" fillId="0" borderId="51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4" fontId="6" fillId="0" borderId="30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35" borderId="0" xfId="0" applyFont="1" applyFill="1"/>
    <xf numFmtId="0" fontId="6" fillId="0" borderId="51" xfId="0" applyFont="1" applyBorder="1" applyAlignment="1">
      <alignment horizontal="right" vertical="center"/>
    </xf>
    <xf numFmtId="11" fontId="6" fillId="0" borderId="50" xfId="0" applyNumberFormat="1" applyFont="1" applyBorder="1" applyAlignment="1">
      <alignment horizontal="center" vertical="center"/>
    </xf>
    <xf numFmtId="3" fontId="6" fillId="0" borderId="50" xfId="0" applyNumberFormat="1" applyFont="1" applyBorder="1" applyAlignment="1">
      <alignment horizontal="center" vertical="center"/>
    </xf>
    <xf numFmtId="3" fontId="6" fillId="0" borderId="30" xfId="0" applyNumberFormat="1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4" fontId="6" fillId="0" borderId="54" xfId="0" applyNumberFormat="1" applyFont="1" applyBorder="1" applyAlignment="1">
      <alignment horizontal="center" vertical="center"/>
    </xf>
    <xf numFmtId="4" fontId="6" fillId="0" borderId="55" xfId="0" applyNumberFormat="1" applyFont="1" applyBorder="1" applyAlignment="1">
      <alignment horizontal="center" vertical="center"/>
    </xf>
    <xf numFmtId="49" fontId="6" fillId="0" borderId="56" xfId="0" applyNumberFormat="1" applyFont="1" applyBorder="1" applyAlignment="1">
      <alignment vertical="center"/>
    </xf>
    <xf numFmtId="0" fontId="6" fillId="0" borderId="0" xfId="0" applyFont="1" applyAlignment="1">
      <alignment horizontal="right" wrapText="1"/>
    </xf>
    <xf numFmtId="3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39" fontId="6" fillId="0" borderId="0" xfId="0" applyNumberFormat="1" applyFont="1" applyAlignment="1">
      <alignment horizontal="right" vertical="center"/>
    </xf>
    <xf numFmtId="4" fontId="1" fillId="0" borderId="0" xfId="0" applyNumberFormat="1" applyFont="1"/>
    <xf numFmtId="49" fontId="6" fillId="0" borderId="0" xfId="0" applyNumberFormat="1" applyFont="1" applyAlignment="1">
      <alignment horizontal="right" vertical="center"/>
    </xf>
    <xf numFmtId="4" fontId="6" fillId="0" borderId="41" xfId="0" applyNumberFormat="1" applyFont="1" applyBorder="1" applyAlignment="1">
      <alignment horizontal="right" vertical="center"/>
    </xf>
    <xf numFmtId="4" fontId="6" fillId="0" borderId="42" xfId="0" applyNumberFormat="1" applyFont="1" applyBorder="1" applyAlignment="1">
      <alignment horizontal="right" vertical="center"/>
    </xf>
    <xf numFmtId="0" fontId="6" fillId="0" borderId="57" xfId="0" applyFont="1" applyBorder="1" applyAlignment="1">
      <alignment horizontal="left" vertical="center"/>
    </xf>
    <xf numFmtId="0" fontId="6" fillId="0" borderId="42" xfId="0" applyFont="1" applyBorder="1" applyAlignment="1">
      <alignment horizontal="right" vertical="center"/>
    </xf>
    <xf numFmtId="0" fontId="6" fillId="0" borderId="42" xfId="0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0" fontId="6" fillId="0" borderId="42" xfId="0" applyFont="1" applyBorder="1" applyAlignment="1">
      <alignment vertical="center"/>
    </xf>
    <xf numFmtId="0" fontId="6" fillId="0" borderId="57" xfId="0" applyFont="1" applyBorder="1" applyAlignment="1">
      <alignment vertical="center"/>
    </xf>
    <xf numFmtId="172" fontId="6" fillId="0" borderId="0" xfId="0" applyNumberFormat="1" applyFont="1" applyAlignment="1">
      <alignment horizontal="center" vertical="center"/>
    </xf>
    <xf numFmtId="3" fontId="6" fillId="0" borderId="42" xfId="0" applyNumberFormat="1" applyFont="1" applyBorder="1" applyAlignment="1">
      <alignment horizontal="right" vertical="center"/>
    </xf>
    <xf numFmtId="0" fontId="6" fillId="0" borderId="45" xfId="0" applyFont="1" applyBorder="1" applyAlignment="1">
      <alignment horizontal="left" vertical="center"/>
    </xf>
    <xf numFmtId="0" fontId="6" fillId="0" borderId="45" xfId="0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44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64" fontId="1" fillId="0" borderId="0" xfId="0" applyNumberFormat="1" applyFont="1"/>
    <xf numFmtId="164" fontId="6" fillId="0" borderId="0" xfId="0" applyNumberFormat="1" applyFont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12" xfId="0" applyFont="1" applyBorder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3" fontId="6" fillId="0" borderId="44" xfId="0" applyNumberFormat="1" applyFont="1" applyBorder="1" applyAlignment="1">
      <alignment vertical="center"/>
    </xf>
    <xf numFmtId="11" fontId="6" fillId="0" borderId="42" xfId="0" applyNumberFormat="1" applyFont="1" applyBorder="1" applyAlignment="1">
      <alignment vertical="center"/>
    </xf>
    <xf numFmtId="171" fontId="6" fillId="0" borderId="42" xfId="0" applyNumberFormat="1" applyFont="1" applyBorder="1" applyAlignment="1">
      <alignment horizontal="right" vertical="center"/>
    </xf>
    <xf numFmtId="169" fontId="6" fillId="0" borderId="42" xfId="0" applyNumberFormat="1" applyFont="1" applyBorder="1" applyAlignment="1">
      <alignment horizontal="right" vertical="center"/>
    </xf>
    <xf numFmtId="4" fontId="27" fillId="0" borderId="21" xfId="0" applyNumberFormat="1" applyFont="1" applyBorder="1" applyAlignment="1">
      <alignment horizontal="center" wrapText="1"/>
    </xf>
    <xf numFmtId="164" fontId="26" fillId="33" borderId="21" xfId="0" applyNumberFormat="1" applyFont="1" applyFill="1" applyBorder="1"/>
    <xf numFmtId="4" fontId="26" fillId="33" borderId="0" xfId="0" applyNumberFormat="1" applyFont="1" applyFill="1" applyAlignment="1">
      <alignment horizontal="center" wrapText="1"/>
    </xf>
    <xf numFmtId="4" fontId="27" fillId="0" borderId="26" xfId="0" applyNumberFormat="1" applyFont="1" applyBorder="1" applyAlignment="1">
      <alignment horizontal="center" wrapText="1"/>
    </xf>
    <xf numFmtId="164" fontId="26" fillId="33" borderId="26" xfId="0" applyNumberFormat="1" applyFont="1" applyFill="1" applyBorder="1"/>
    <xf numFmtId="4" fontId="27" fillId="0" borderId="59" xfId="0" applyNumberFormat="1" applyFont="1" applyBorder="1" applyAlignment="1">
      <alignment horizontal="center" wrapText="1"/>
    </xf>
    <xf numFmtId="4" fontId="24" fillId="33" borderId="0" xfId="0" applyNumberFormat="1" applyFont="1" applyFill="1"/>
    <xf numFmtId="0" fontId="24" fillId="33" borderId="0" xfId="0" applyFont="1" applyFill="1"/>
    <xf numFmtId="4" fontId="27" fillId="0" borderId="32" xfId="0" applyNumberFormat="1" applyFont="1" applyBorder="1" applyAlignment="1">
      <alignment horizontal="center" wrapText="1"/>
    </xf>
    <xf numFmtId="164" fontId="26" fillId="33" borderId="32" xfId="0" applyNumberFormat="1" applyFont="1" applyFill="1" applyBorder="1"/>
    <xf numFmtId="164" fontId="26" fillId="33" borderId="60" xfId="0" applyNumberFormat="1" applyFont="1" applyFill="1" applyBorder="1"/>
    <xf numFmtId="164" fontId="24" fillId="33" borderId="13" xfId="0" applyNumberFormat="1" applyFont="1" applyFill="1" applyBorder="1"/>
    <xf numFmtId="4" fontId="26" fillId="0" borderId="13" xfId="0" applyNumberFormat="1" applyFont="1" applyBorder="1" applyAlignment="1">
      <alignment horizontal="center"/>
    </xf>
    <xf numFmtId="164" fontId="26" fillId="33" borderId="0" xfId="0" applyNumberFormat="1" applyFont="1" applyFill="1"/>
    <xf numFmtId="164" fontId="26" fillId="33" borderId="21" xfId="0" applyNumberFormat="1" applyFont="1" applyFill="1" applyBorder="1" applyAlignment="1">
      <alignment horizontal="center"/>
    </xf>
    <xf numFmtId="173" fontId="27" fillId="0" borderId="21" xfId="0" applyNumberFormat="1" applyFont="1" applyBorder="1" applyAlignment="1">
      <alignment horizontal="center" wrapText="1"/>
    </xf>
    <xf numFmtId="0" fontId="26" fillId="33" borderId="21" xfId="0" applyFont="1" applyFill="1" applyBorder="1" applyAlignment="1">
      <alignment horizontal="center"/>
    </xf>
    <xf numFmtId="164" fontId="26" fillId="33" borderId="26" xfId="0" applyNumberFormat="1" applyFont="1" applyFill="1" applyBorder="1" applyAlignment="1">
      <alignment horizontal="center"/>
    </xf>
    <xf numFmtId="173" fontId="27" fillId="0" borderId="26" xfId="0" applyNumberFormat="1" applyFont="1" applyBorder="1" applyAlignment="1">
      <alignment horizontal="center" wrapText="1"/>
    </xf>
    <xf numFmtId="4" fontId="28" fillId="2" borderId="26" xfId="0" applyNumberFormat="1" applyFont="1" applyFill="1" applyBorder="1" applyAlignment="1">
      <alignment horizontal="center"/>
    </xf>
    <xf numFmtId="4" fontId="27" fillId="33" borderId="32" xfId="0" applyNumberFormat="1" applyFont="1" applyFill="1" applyBorder="1" applyAlignment="1">
      <alignment horizontal="center" wrapText="1"/>
    </xf>
    <xf numFmtId="164" fontId="26" fillId="33" borderId="32" xfId="0" applyNumberFormat="1" applyFont="1" applyFill="1" applyBorder="1" applyAlignment="1">
      <alignment horizontal="center"/>
    </xf>
    <xf numFmtId="173" fontId="27" fillId="0" borderId="32" xfId="0" applyNumberFormat="1" applyFont="1" applyBorder="1" applyAlignment="1">
      <alignment horizontal="center" wrapText="1"/>
    </xf>
    <xf numFmtId="4" fontId="28" fillId="2" borderId="32" xfId="0" applyNumberFormat="1" applyFont="1" applyFill="1" applyBorder="1" applyAlignment="1">
      <alignment horizontal="center"/>
    </xf>
    <xf numFmtId="173" fontId="26" fillId="0" borderId="36" xfId="0" applyNumberFormat="1" applyFont="1" applyBorder="1" applyAlignment="1">
      <alignment horizontal="center"/>
    </xf>
    <xf numFmtId="4" fontId="26" fillId="0" borderId="36" xfId="0" applyNumberFormat="1" applyFont="1" applyBorder="1" applyAlignment="1">
      <alignment horizontal="center"/>
    </xf>
    <xf numFmtId="0" fontId="26" fillId="33" borderId="13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" fontId="6" fillId="0" borderId="0" xfId="0" applyNumberFormat="1" applyFont="1"/>
    <xf numFmtId="4" fontId="6" fillId="0" borderId="0" xfId="0" applyNumberFormat="1" applyFont="1"/>
    <xf numFmtId="4" fontId="30" fillId="0" borderId="0" xfId="0" applyNumberFormat="1" applyFont="1"/>
    <xf numFmtId="0" fontId="31" fillId="0" borderId="0" xfId="0" applyFont="1"/>
    <xf numFmtId="0" fontId="6" fillId="0" borderId="0" xfId="0" applyFont="1" applyAlignment="1">
      <alignment horizontal="right"/>
    </xf>
    <xf numFmtId="0" fontId="6" fillId="0" borderId="42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170" fontId="6" fillId="0" borderId="41" xfId="0" applyNumberFormat="1" applyFont="1" applyBorder="1" applyAlignment="1">
      <alignment horizontal="center" vertical="center"/>
    </xf>
    <xf numFmtId="0" fontId="5" fillId="0" borderId="0" xfId="0" applyFont="1"/>
    <xf numFmtId="171" fontId="6" fillId="0" borderId="41" xfId="0" applyNumberFormat="1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vertical="center"/>
    </xf>
    <xf numFmtId="2" fontId="6" fillId="0" borderId="41" xfId="0" applyNumberFormat="1" applyFont="1" applyBorder="1" applyAlignment="1">
      <alignment horizontal="center" vertical="center"/>
    </xf>
    <xf numFmtId="0" fontId="6" fillId="0" borderId="44" xfId="0" applyFont="1" applyBorder="1"/>
    <xf numFmtId="170" fontId="6" fillId="0" borderId="43" xfId="0" applyNumberFormat="1" applyFont="1" applyBorder="1" applyAlignment="1">
      <alignment horizontal="center" vertical="center"/>
    </xf>
    <xf numFmtId="173" fontId="1" fillId="0" borderId="0" xfId="0" applyNumberFormat="1" applyFont="1"/>
    <xf numFmtId="170" fontId="6" fillId="0" borderId="42" xfId="0" applyNumberFormat="1" applyFont="1" applyBorder="1" applyAlignment="1">
      <alignment vertical="center"/>
    </xf>
    <xf numFmtId="170" fontId="6" fillId="0" borderId="0" xfId="0" applyNumberFormat="1" applyFont="1" applyAlignment="1">
      <alignment vertical="center"/>
    </xf>
    <xf numFmtId="0" fontId="24" fillId="33" borderId="55" xfId="0" applyFont="1" applyFill="1" applyBorder="1" applyAlignment="1">
      <alignment horizontal="center"/>
    </xf>
    <xf numFmtId="0" fontId="24" fillId="33" borderId="52" xfId="0" applyFont="1" applyFill="1" applyBorder="1" applyAlignment="1">
      <alignment horizontal="center"/>
    </xf>
    <xf numFmtId="4" fontId="27" fillId="0" borderId="65" xfId="0" applyNumberFormat="1" applyFont="1" applyBorder="1" applyAlignment="1">
      <alignment horizontal="center" wrapText="1"/>
    </xf>
    <xf numFmtId="4" fontId="27" fillId="0" borderId="22" xfId="0" applyNumberFormat="1" applyFont="1" applyBorder="1" applyAlignment="1">
      <alignment horizontal="center" wrapText="1"/>
    </xf>
    <xf numFmtId="164" fontId="26" fillId="0" borderId="22" xfId="0" applyNumberFormat="1" applyFont="1" applyBorder="1"/>
    <xf numFmtId="164" fontId="26" fillId="0" borderId="23" xfId="0" applyNumberFormat="1" applyFont="1" applyBorder="1"/>
    <xf numFmtId="164" fontId="26" fillId="0" borderId="21" xfId="0" applyNumberFormat="1" applyFont="1" applyBorder="1"/>
    <xf numFmtId="4" fontId="26" fillId="0" borderId="25" xfId="0" applyNumberFormat="1" applyFont="1" applyBorder="1" applyAlignment="1">
      <alignment horizontal="center" wrapText="1"/>
    </xf>
    <xf numFmtId="4" fontId="27" fillId="0" borderId="66" xfId="0" applyNumberFormat="1" applyFont="1" applyBorder="1" applyAlignment="1">
      <alignment horizontal="center" wrapText="1"/>
    </xf>
    <xf numFmtId="4" fontId="27" fillId="0" borderId="43" xfId="0" applyNumberFormat="1" applyFont="1" applyBorder="1" applyAlignment="1">
      <alignment horizontal="center" wrapText="1"/>
    </xf>
    <xf numFmtId="164" fontId="26" fillId="0" borderId="43" xfId="0" applyNumberFormat="1" applyFont="1" applyBorder="1"/>
    <xf numFmtId="164" fontId="26" fillId="0" borderId="28" xfId="0" applyNumberFormat="1" applyFont="1" applyBorder="1"/>
    <xf numFmtId="164" fontId="26" fillId="0" borderId="26" xfId="0" applyNumberFormat="1" applyFont="1" applyBorder="1"/>
    <xf numFmtId="4" fontId="26" fillId="0" borderId="31" xfId="0" applyNumberFormat="1" applyFont="1" applyBorder="1" applyAlignment="1">
      <alignment horizontal="center" wrapText="1"/>
    </xf>
    <xf numFmtId="4" fontId="27" fillId="0" borderId="27" xfId="0" applyNumberFormat="1" applyFont="1" applyBorder="1" applyAlignment="1">
      <alignment horizontal="center" wrapText="1"/>
    </xf>
    <xf numFmtId="164" fontId="26" fillId="0" borderId="27" xfId="0" applyNumberFormat="1" applyFont="1" applyBorder="1"/>
    <xf numFmtId="164" fontId="26" fillId="0" borderId="30" xfId="0" applyNumberFormat="1" applyFont="1" applyBorder="1"/>
    <xf numFmtId="4" fontId="27" fillId="0" borderId="67" xfId="0" applyNumberFormat="1" applyFont="1" applyBorder="1" applyAlignment="1">
      <alignment horizontal="center" wrapText="1"/>
    </xf>
    <xf numFmtId="4" fontId="27" fillId="0" borderId="33" xfId="0" applyNumberFormat="1" applyFont="1" applyBorder="1" applyAlignment="1">
      <alignment horizontal="center" wrapText="1"/>
    </xf>
    <xf numFmtId="164" fontId="26" fillId="0" borderId="33" xfId="0" applyNumberFormat="1" applyFont="1" applyBorder="1"/>
    <xf numFmtId="164" fontId="26" fillId="0" borderId="34" xfId="0" applyNumberFormat="1" applyFont="1" applyBorder="1"/>
    <xf numFmtId="4" fontId="26" fillId="0" borderId="35" xfId="0" applyNumberFormat="1" applyFont="1" applyBorder="1" applyAlignment="1">
      <alignment horizontal="center" wrapText="1"/>
    </xf>
    <xf numFmtId="4" fontId="17" fillId="0" borderId="17" xfId="0" applyNumberFormat="1" applyFont="1" applyBorder="1" applyAlignment="1">
      <alignment horizontal="center"/>
    </xf>
    <xf numFmtId="164" fontId="24" fillId="0" borderId="13" xfId="0" applyNumberFormat="1" applyFont="1" applyBorder="1"/>
    <xf numFmtId="2" fontId="26" fillId="0" borderId="13" xfId="0" applyNumberFormat="1" applyFont="1" applyBorder="1" applyAlignment="1">
      <alignment horizontal="center"/>
    </xf>
    <xf numFmtId="0" fontId="26" fillId="33" borderId="64" xfId="0" applyFont="1" applyFill="1" applyBorder="1"/>
    <xf numFmtId="2" fontId="26" fillId="33" borderId="56" xfId="0" applyNumberFormat="1" applyFont="1" applyFill="1" applyBorder="1"/>
    <xf numFmtId="2" fontId="26" fillId="33" borderId="56" xfId="0" applyNumberFormat="1" applyFont="1" applyFill="1" applyBorder="1" applyAlignment="1">
      <alignment horizontal="center"/>
    </xf>
    <xf numFmtId="0" fontId="24" fillId="33" borderId="14" xfId="0" applyFont="1" applyFill="1" applyBorder="1"/>
    <xf numFmtId="0" fontId="24" fillId="33" borderId="68" xfId="0" applyFont="1" applyFill="1" applyBorder="1" applyAlignment="1">
      <alignment horizontal="center"/>
    </xf>
    <xf numFmtId="0" fontId="24" fillId="33" borderId="69" xfId="0" applyFont="1" applyFill="1" applyBorder="1" applyAlignment="1">
      <alignment horizontal="center"/>
    </xf>
    <xf numFmtId="0" fontId="24" fillId="33" borderId="70" xfId="0" applyFont="1" applyFill="1" applyBorder="1" applyAlignment="1">
      <alignment horizontal="center"/>
    </xf>
    <xf numFmtId="0" fontId="24" fillId="33" borderId="47" xfId="0" applyFont="1" applyFill="1" applyBorder="1" applyAlignment="1">
      <alignment horizontal="center"/>
    </xf>
    <xf numFmtId="4" fontId="1" fillId="0" borderId="65" xfId="0" applyNumberFormat="1" applyFont="1" applyBorder="1" applyAlignment="1">
      <alignment horizontal="center"/>
    </xf>
    <xf numFmtId="4" fontId="1" fillId="33" borderId="22" xfId="0" applyNumberFormat="1" applyFont="1" applyFill="1" applyBorder="1" applyAlignment="1">
      <alignment horizontal="center"/>
    </xf>
    <xf numFmtId="4" fontId="1" fillId="33" borderId="71" xfId="0" applyNumberFormat="1" applyFont="1" applyFill="1" applyBorder="1" applyAlignment="1">
      <alignment horizontal="center"/>
    </xf>
    <xf numFmtId="4" fontId="26" fillId="33" borderId="65" xfId="0" applyNumberFormat="1" applyFont="1" applyFill="1" applyBorder="1" applyAlignment="1">
      <alignment horizontal="center"/>
    </xf>
    <xf numFmtId="4" fontId="1" fillId="33" borderId="23" xfId="0" applyNumberFormat="1" applyFont="1" applyFill="1" applyBorder="1" applyAlignment="1">
      <alignment horizontal="center"/>
    </xf>
    <xf numFmtId="171" fontId="27" fillId="0" borderId="65" xfId="0" applyNumberFormat="1" applyFont="1" applyBorder="1" applyAlignment="1">
      <alignment horizontal="center" wrapText="1"/>
    </xf>
    <xf numFmtId="171" fontId="27" fillId="0" borderId="22" xfId="0" applyNumberFormat="1" applyFont="1" applyBorder="1" applyAlignment="1">
      <alignment horizontal="center" wrapText="1"/>
    </xf>
    <xf numFmtId="171" fontId="26" fillId="33" borderId="22" xfId="0" applyNumberFormat="1" applyFont="1" applyFill="1" applyBorder="1" applyAlignment="1">
      <alignment horizontal="center" wrapText="1"/>
    </xf>
    <xf numFmtId="171" fontId="27" fillId="0" borderId="23" xfId="0" applyNumberFormat="1" applyFont="1" applyBorder="1" applyAlignment="1">
      <alignment horizontal="center" wrapText="1"/>
    </xf>
    <xf numFmtId="4" fontId="26" fillId="33" borderId="72" xfId="0" applyNumberFormat="1" applyFont="1" applyFill="1" applyBorder="1" applyAlignment="1">
      <alignment horizontal="center" wrapText="1"/>
    </xf>
    <xf numFmtId="4" fontId="26" fillId="33" borderId="73" xfId="0" applyNumberFormat="1" applyFont="1" applyFill="1" applyBorder="1" applyAlignment="1">
      <alignment horizontal="center" wrapText="1"/>
    </xf>
    <xf numFmtId="4" fontId="26" fillId="33" borderId="74" xfId="0" applyNumberFormat="1" applyFont="1" applyFill="1" applyBorder="1" applyAlignment="1">
      <alignment horizontal="center" wrapText="1"/>
    </xf>
    <xf numFmtId="4" fontId="1" fillId="0" borderId="66" xfId="0" applyNumberFormat="1" applyFont="1" applyBorder="1" applyAlignment="1">
      <alignment horizontal="center"/>
    </xf>
    <xf numFmtId="4" fontId="1" fillId="33" borderId="27" xfId="0" applyNumberFormat="1" applyFont="1" applyFill="1" applyBorder="1" applyAlignment="1">
      <alignment horizontal="center"/>
    </xf>
    <xf numFmtId="4" fontId="1" fillId="33" borderId="50" xfId="0" applyNumberFormat="1" applyFont="1" applyFill="1" applyBorder="1" applyAlignment="1">
      <alignment horizontal="center"/>
    </xf>
    <xf numFmtId="4" fontId="26" fillId="33" borderId="66" xfId="0" applyNumberFormat="1" applyFont="1" applyFill="1" applyBorder="1" applyAlignment="1">
      <alignment horizontal="center"/>
    </xf>
    <xf numFmtId="4" fontId="1" fillId="33" borderId="30" xfId="0" applyNumberFormat="1" applyFont="1" applyFill="1" applyBorder="1" applyAlignment="1">
      <alignment horizontal="center"/>
    </xf>
    <xf numFmtId="171" fontId="27" fillId="0" borderId="66" xfId="0" applyNumberFormat="1" applyFont="1" applyBorder="1" applyAlignment="1">
      <alignment horizontal="center" wrapText="1"/>
    </xf>
    <xf numFmtId="171" fontId="27" fillId="0" borderId="27" xfId="0" applyNumberFormat="1" applyFont="1" applyBorder="1" applyAlignment="1">
      <alignment horizontal="center" wrapText="1"/>
    </xf>
    <xf numFmtId="171" fontId="26" fillId="33" borderId="27" xfId="0" applyNumberFormat="1" applyFont="1" applyFill="1" applyBorder="1" applyAlignment="1">
      <alignment horizontal="center" wrapText="1"/>
    </xf>
    <xf numFmtId="171" fontId="27" fillId="0" borderId="30" xfId="0" applyNumberFormat="1" applyFont="1" applyBorder="1" applyAlignment="1">
      <alignment horizontal="center" wrapText="1"/>
    </xf>
    <xf numFmtId="4" fontId="26" fillId="33" borderId="75" xfId="0" applyNumberFormat="1" applyFont="1" applyFill="1" applyBorder="1" applyAlignment="1">
      <alignment horizontal="center" wrapText="1"/>
    </xf>
    <xf numFmtId="4" fontId="26" fillId="33" borderId="76" xfId="0" applyNumberFormat="1" applyFont="1" applyFill="1" applyBorder="1" applyAlignment="1">
      <alignment horizontal="center" wrapText="1"/>
    </xf>
    <xf numFmtId="4" fontId="26" fillId="33" borderId="77" xfId="0" applyNumberFormat="1" applyFont="1" applyFill="1" applyBorder="1" applyAlignment="1">
      <alignment horizontal="center" wrapText="1"/>
    </xf>
    <xf numFmtId="4" fontId="26" fillId="33" borderId="78" xfId="0" applyNumberFormat="1" applyFont="1" applyFill="1" applyBorder="1" applyAlignment="1">
      <alignment horizontal="center" wrapText="1"/>
    </xf>
    <xf numFmtId="4" fontId="26" fillId="33" borderId="79" xfId="0" applyNumberFormat="1" applyFont="1" applyFill="1" applyBorder="1" applyAlignment="1">
      <alignment horizontal="center" wrapText="1"/>
    </xf>
    <xf numFmtId="4" fontId="26" fillId="33" borderId="80" xfId="0" applyNumberFormat="1" applyFont="1" applyFill="1" applyBorder="1" applyAlignment="1">
      <alignment horizontal="center" wrapText="1"/>
    </xf>
    <xf numFmtId="2" fontId="26" fillId="33" borderId="47" xfId="0" applyNumberFormat="1" applyFont="1" applyFill="1" applyBorder="1" applyAlignment="1">
      <alignment horizontal="center"/>
    </xf>
    <xf numFmtId="4" fontId="1" fillId="0" borderId="27" xfId="0" applyNumberFormat="1" applyFont="1" applyBorder="1" applyAlignment="1">
      <alignment horizontal="center"/>
    </xf>
    <xf numFmtId="4" fontId="1" fillId="0" borderId="50" xfId="0" applyNumberFormat="1" applyFont="1" applyBorder="1" applyAlignment="1">
      <alignment horizontal="center"/>
    </xf>
    <xf numFmtId="4" fontId="26" fillId="0" borderId="66" xfId="0" applyNumberFormat="1" applyFont="1" applyBorder="1" applyAlignment="1">
      <alignment horizontal="center" wrapText="1"/>
    </xf>
    <xf numFmtId="4" fontId="1" fillId="0" borderId="30" xfId="0" applyNumberFormat="1" applyFont="1" applyBorder="1" applyAlignment="1">
      <alignment horizontal="center"/>
    </xf>
    <xf numFmtId="4" fontId="1" fillId="0" borderId="33" xfId="0" applyNumberFormat="1" applyFont="1" applyBorder="1" applyAlignment="1">
      <alignment horizontal="center"/>
    </xf>
    <xf numFmtId="4" fontId="1" fillId="0" borderId="81" xfId="0" applyNumberFormat="1" applyFont="1" applyBorder="1" applyAlignment="1">
      <alignment horizontal="center"/>
    </xf>
    <xf numFmtId="4" fontId="26" fillId="0" borderId="67" xfId="0" applyNumberFormat="1" applyFont="1" applyBorder="1" applyAlignment="1">
      <alignment horizontal="center" wrapText="1"/>
    </xf>
    <xf numFmtId="4" fontId="1" fillId="0" borderId="34" xfId="0" applyNumberFormat="1" applyFont="1" applyBorder="1" applyAlignment="1">
      <alignment horizontal="center"/>
    </xf>
    <xf numFmtId="2" fontId="26" fillId="33" borderId="46" xfId="0" applyNumberFormat="1" applyFont="1" applyFill="1" applyBorder="1" applyAlignment="1">
      <alignment horizontal="center"/>
    </xf>
    <xf numFmtId="2" fontId="26" fillId="33" borderId="20" xfId="0" applyNumberFormat="1" applyFont="1" applyFill="1" applyBorder="1" applyAlignment="1">
      <alignment horizontal="center"/>
    </xf>
    <xf numFmtId="0" fontId="17" fillId="0" borderId="13" xfId="0" applyFont="1" applyBorder="1"/>
    <xf numFmtId="4" fontId="17" fillId="0" borderId="47" xfId="0" applyNumberFormat="1" applyFont="1" applyBorder="1" applyAlignment="1">
      <alignment horizontal="center"/>
    </xf>
    <xf numFmtId="4" fontId="17" fillId="0" borderId="18" xfId="0" applyNumberFormat="1" applyFont="1" applyBorder="1" applyAlignment="1">
      <alignment horizontal="center"/>
    </xf>
    <xf numFmtId="4" fontId="17" fillId="0" borderId="36" xfId="0" applyNumberFormat="1" applyFont="1" applyBorder="1" applyAlignment="1">
      <alignment horizontal="center"/>
    </xf>
    <xf numFmtId="4" fontId="17" fillId="0" borderId="20" xfId="0" applyNumberFormat="1" applyFont="1" applyBorder="1" applyAlignment="1">
      <alignment horizontal="center"/>
    </xf>
    <xf numFmtId="171" fontId="1" fillId="0" borderId="17" xfId="0" applyNumberFormat="1" applyFont="1" applyBorder="1" applyAlignment="1">
      <alignment horizontal="center"/>
    </xf>
    <xf numFmtId="171" fontId="1" fillId="0" borderId="46" xfId="0" applyNumberFormat="1" applyFont="1" applyBorder="1" applyAlignment="1">
      <alignment horizontal="center"/>
    </xf>
    <xf numFmtId="171" fontId="1" fillId="0" borderId="47" xfId="0" applyNumberFormat="1" applyFont="1" applyBorder="1" applyAlignment="1">
      <alignment horizontal="center"/>
    </xf>
    <xf numFmtId="4" fontId="1" fillId="0" borderId="23" xfId="0" applyNumberFormat="1" applyFont="1" applyBorder="1" applyAlignment="1">
      <alignment horizontal="center"/>
    </xf>
    <xf numFmtId="4" fontId="26" fillId="0" borderId="65" xfId="0" applyNumberFormat="1" applyFont="1" applyBorder="1" applyAlignment="1">
      <alignment horizontal="center" wrapText="1"/>
    </xf>
    <xf numFmtId="2" fontId="26" fillId="33" borderId="0" xfId="0" applyNumberFormat="1" applyFont="1" applyFill="1" applyAlignment="1">
      <alignment horizontal="center"/>
    </xf>
    <xf numFmtId="0" fontId="17" fillId="0" borderId="13" xfId="0" applyFont="1" applyBorder="1" applyAlignment="1">
      <alignment horizontal="center"/>
    </xf>
    <xf numFmtId="4" fontId="17" fillId="0" borderId="46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0" fontId="6" fillId="0" borderId="16" xfId="0" applyFont="1" applyBorder="1"/>
    <xf numFmtId="0" fontId="6" fillId="0" borderId="82" xfId="0" applyFont="1" applyBorder="1"/>
    <xf numFmtId="0" fontId="6" fillId="0" borderId="83" xfId="0" applyFont="1" applyBorder="1"/>
    <xf numFmtId="0" fontId="6" fillId="0" borderId="84" xfId="0" applyFont="1" applyBorder="1"/>
    <xf numFmtId="0" fontId="6" fillId="0" borderId="25" xfId="0" applyFont="1" applyBorder="1"/>
    <xf numFmtId="0" fontId="6" fillId="0" borderId="59" xfId="0" applyFont="1" applyBorder="1"/>
    <xf numFmtId="0" fontId="6" fillId="0" borderId="26" xfId="0" applyFont="1" applyBorder="1"/>
    <xf numFmtId="0" fontId="6" fillId="0" borderId="29" xfId="0" applyFont="1" applyBorder="1"/>
    <xf numFmtId="0" fontId="6" fillId="0" borderId="31" xfId="0" applyFont="1" applyBorder="1"/>
    <xf numFmtId="1" fontId="6" fillId="0" borderId="36" xfId="0" applyNumberFormat="1" applyFont="1" applyBorder="1"/>
    <xf numFmtId="0" fontId="6" fillId="0" borderId="85" xfId="0" applyFont="1" applyBorder="1"/>
    <xf numFmtId="0" fontId="6" fillId="0" borderId="86" xfId="0" applyFont="1" applyBorder="1"/>
    <xf numFmtId="1" fontId="6" fillId="0" borderId="32" xfId="0" applyNumberFormat="1" applyFont="1" applyBorder="1"/>
    <xf numFmtId="0" fontId="6" fillId="0" borderId="87" xfId="0" applyFont="1" applyBorder="1"/>
    <xf numFmtId="0" fontId="6" fillId="0" borderId="35" xfId="0" applyFont="1" applyBorder="1"/>
    <xf numFmtId="0" fontId="6" fillId="0" borderId="24" xfId="0" applyFont="1" applyBorder="1"/>
    <xf numFmtId="4" fontId="6" fillId="0" borderId="24" xfId="0" applyNumberFormat="1" applyFont="1" applyBorder="1" applyAlignment="1">
      <alignment horizontal="left"/>
    </xf>
    <xf numFmtId="0" fontId="6" fillId="0" borderId="21" xfId="0" applyFont="1" applyBorder="1"/>
    <xf numFmtId="4" fontId="6" fillId="0" borderId="24" xfId="0" applyNumberFormat="1" applyFont="1" applyBorder="1" applyAlignment="1">
      <alignment vertical="center"/>
    </xf>
    <xf numFmtId="4" fontId="6" fillId="0" borderId="87" xfId="0" applyNumberFormat="1" applyFont="1" applyBorder="1" applyAlignment="1">
      <alignment horizontal="left" vertical="center"/>
    </xf>
    <xf numFmtId="0" fontId="6" fillId="0" borderId="32" xfId="0" applyFont="1" applyBorder="1"/>
    <xf numFmtId="173" fontId="6" fillId="0" borderId="87" xfId="0" applyNumberFormat="1" applyFont="1" applyBorder="1" applyAlignment="1">
      <alignment horizontal="right" vertical="center"/>
    </xf>
    <xf numFmtId="0" fontId="6" fillId="0" borderId="45" xfId="0" applyFont="1" applyBorder="1" applyAlignment="1">
      <alignment horizontal="center" vertical="center"/>
    </xf>
    <xf numFmtId="0" fontId="26" fillId="0" borderId="0" xfId="0" applyFont="1"/>
    <xf numFmtId="174" fontId="6" fillId="0" borderId="41" xfId="0" applyNumberFormat="1" applyFont="1" applyBorder="1" applyAlignment="1">
      <alignment horizontal="center" vertical="center"/>
    </xf>
    <xf numFmtId="4" fontId="27" fillId="0" borderId="23" xfId="0" applyNumberFormat="1" applyFont="1" applyBorder="1" applyAlignment="1">
      <alignment horizontal="center" wrapText="1"/>
    </xf>
    <xf numFmtId="4" fontId="27" fillId="0" borderId="30" xfId="0" applyNumberFormat="1" applyFont="1" applyBorder="1" applyAlignment="1">
      <alignment horizontal="center" wrapText="1"/>
    </xf>
    <xf numFmtId="0" fontId="24" fillId="0" borderId="61" xfId="0" applyFont="1" applyBorder="1" applyAlignment="1">
      <alignment horizontal="center"/>
    </xf>
    <xf numFmtId="164" fontId="24" fillId="0" borderId="43" xfId="0" applyNumberFormat="1" applyFont="1" applyBorder="1"/>
    <xf numFmtId="4" fontId="27" fillId="33" borderId="33" xfId="0" applyNumberFormat="1" applyFont="1" applyFill="1" applyBorder="1" applyAlignment="1">
      <alignment horizontal="center" wrapText="1"/>
    </xf>
    <xf numFmtId="4" fontId="27" fillId="33" borderId="34" xfId="0" applyNumberFormat="1" applyFont="1" applyFill="1" applyBorder="1" applyAlignment="1">
      <alignment horizontal="center" wrapText="1"/>
    </xf>
    <xf numFmtId="0" fontId="17" fillId="0" borderId="14" xfId="0" applyFont="1" applyBorder="1" applyAlignment="1">
      <alignment horizontal="center"/>
    </xf>
    <xf numFmtId="4" fontId="17" fillId="0" borderId="19" xfId="0" applyNumberFormat="1" applyFont="1" applyBorder="1" applyAlignment="1">
      <alignment horizontal="center"/>
    </xf>
    <xf numFmtId="2" fontId="26" fillId="0" borderId="19" xfId="0" applyNumberFormat="1" applyFont="1" applyBorder="1" applyAlignment="1">
      <alignment horizontal="center"/>
    </xf>
    <xf numFmtId="2" fontId="26" fillId="0" borderId="47" xfId="0" applyNumberFormat="1" applyFont="1" applyBorder="1" applyAlignment="1">
      <alignment horizontal="center"/>
    </xf>
    <xf numFmtId="2" fontId="26" fillId="0" borderId="20" xfId="0" applyNumberFormat="1" applyFont="1" applyBorder="1" applyAlignment="1">
      <alignment horizontal="center"/>
    </xf>
    <xf numFmtId="0" fontId="17" fillId="0" borderId="14" xfId="0" applyFont="1" applyBorder="1" applyAlignment="1">
      <alignment horizontal="center" wrapText="1"/>
    </xf>
    <xf numFmtId="164" fontId="17" fillId="0" borderId="19" xfId="0" applyNumberFormat="1" applyFont="1" applyBorder="1" applyAlignment="1">
      <alignment vertical="center"/>
    </xf>
    <xf numFmtId="164" fontId="17" fillId="0" borderId="47" xfId="0" applyNumberFormat="1" applyFont="1" applyBorder="1" applyAlignment="1">
      <alignment vertical="center"/>
    </xf>
    <xf numFmtId="2" fontId="26" fillId="33" borderId="19" xfId="0" applyNumberFormat="1" applyFont="1" applyFill="1" applyBorder="1" applyAlignment="1">
      <alignment horizontal="center"/>
    </xf>
    <xf numFmtId="0" fontId="24" fillId="33" borderId="20" xfId="0" applyFont="1" applyFill="1" applyBorder="1"/>
    <xf numFmtId="173" fontId="27" fillId="0" borderId="22" xfId="0" applyNumberFormat="1" applyFont="1" applyBorder="1" applyAlignment="1">
      <alignment horizontal="center" wrapText="1"/>
    </xf>
    <xf numFmtId="173" fontId="27" fillId="0" borderId="27" xfId="0" applyNumberFormat="1" applyFont="1" applyBorder="1" applyAlignment="1">
      <alignment horizontal="center" wrapText="1"/>
    </xf>
    <xf numFmtId="173" fontId="27" fillId="0" borderId="33" xfId="0" applyNumberFormat="1" applyFont="1" applyBorder="1" applyAlignment="1">
      <alignment horizontal="center" wrapText="1"/>
    </xf>
    <xf numFmtId="4" fontId="27" fillId="0" borderId="34" xfId="0" applyNumberFormat="1" applyFont="1" applyBorder="1" applyAlignment="1">
      <alignment horizontal="center" wrapText="1"/>
    </xf>
    <xf numFmtId="173" fontId="17" fillId="0" borderId="17" xfId="0" applyNumberFormat="1" applyFont="1" applyBorder="1" applyAlignment="1">
      <alignment horizontal="center"/>
    </xf>
    <xf numFmtId="173" fontId="17" fillId="0" borderId="19" xfId="0" applyNumberFormat="1" applyFont="1" applyBorder="1" applyAlignment="1">
      <alignment horizontal="center"/>
    </xf>
    <xf numFmtId="4" fontId="17" fillId="0" borderId="17" xfId="0" applyNumberFormat="1" applyFont="1" applyBorder="1"/>
    <xf numFmtId="4" fontId="17" fillId="0" borderId="46" xfId="0" applyNumberFormat="1" applyFont="1" applyBorder="1"/>
    <xf numFmtId="4" fontId="17" fillId="0" borderId="14" xfId="0" applyNumberFormat="1" applyFont="1" applyBorder="1" applyAlignment="1">
      <alignment horizontal="center"/>
    </xf>
    <xf numFmtId="164" fontId="17" fillId="0" borderId="46" xfId="0" applyNumberFormat="1" applyFont="1" applyBorder="1" applyAlignment="1">
      <alignment horizontal="center" vertical="center"/>
    </xf>
    <xf numFmtId="39" fontId="17" fillId="0" borderId="47" xfId="0" applyNumberFormat="1" applyFont="1" applyBorder="1" applyAlignment="1">
      <alignment horizontal="center" vertical="center"/>
    </xf>
    <xf numFmtId="164" fontId="24" fillId="0" borderId="20" xfId="0" applyNumberFormat="1" applyFont="1" applyBorder="1" applyAlignment="1">
      <alignment horizontal="center" vertical="center"/>
    </xf>
    <xf numFmtId="0" fontId="17" fillId="0" borderId="88" xfId="0" applyFont="1" applyBorder="1" applyAlignment="1">
      <alignment horizontal="center" wrapText="1"/>
    </xf>
    <xf numFmtId="164" fontId="32" fillId="0" borderId="46" xfId="0" applyNumberFormat="1" applyFont="1" applyBorder="1" applyAlignment="1">
      <alignment horizontal="center" vertical="center"/>
    </xf>
    <xf numFmtId="164" fontId="17" fillId="0" borderId="20" xfId="0" applyNumberFormat="1" applyFont="1" applyBorder="1" applyAlignment="1">
      <alignment horizontal="center" vertical="center"/>
    </xf>
    <xf numFmtId="164" fontId="24" fillId="33" borderId="0" xfId="0" applyNumberFormat="1" applyFont="1" applyFill="1"/>
    <xf numFmtId="4" fontId="27" fillId="0" borderId="71" xfId="0" applyNumberFormat="1" applyFont="1" applyBorder="1" applyAlignment="1">
      <alignment horizontal="center" wrapText="1"/>
    </xf>
    <xf numFmtId="164" fontId="17" fillId="0" borderId="21" xfId="0" applyNumberFormat="1" applyFont="1" applyBorder="1" applyAlignment="1">
      <alignment horizontal="center" vertical="center"/>
    </xf>
    <xf numFmtId="4" fontId="27" fillId="0" borderId="50" xfId="0" applyNumberFormat="1" applyFont="1" applyBorder="1" applyAlignment="1">
      <alignment horizontal="center" wrapText="1"/>
    </xf>
    <xf numFmtId="164" fontId="17" fillId="0" borderId="26" xfId="0" applyNumberFormat="1" applyFont="1" applyBorder="1" applyAlignment="1">
      <alignment horizontal="center" vertical="center"/>
    </xf>
    <xf numFmtId="4" fontId="27" fillId="0" borderId="81" xfId="0" applyNumberFormat="1" applyFont="1" applyBorder="1" applyAlignment="1">
      <alignment horizontal="center" wrapText="1"/>
    </xf>
    <xf numFmtId="164" fontId="17" fillId="0" borderId="32" xfId="0" applyNumberFormat="1" applyFont="1" applyBorder="1" applyAlignment="1">
      <alignment horizontal="center" vertical="center"/>
    </xf>
    <xf numFmtId="4" fontId="1" fillId="0" borderId="89" xfId="0" applyNumberFormat="1" applyFont="1" applyBorder="1" applyAlignment="1">
      <alignment horizontal="center"/>
    </xf>
    <xf numFmtId="0" fontId="17" fillId="0" borderId="52" xfId="0" applyFont="1" applyBorder="1" applyAlignment="1">
      <alignment horizontal="center"/>
    </xf>
    <xf numFmtId="4" fontId="17" fillId="0" borderId="53" xfId="0" applyNumberFormat="1" applyFont="1" applyBorder="1" applyAlignment="1">
      <alignment horizontal="center"/>
    </xf>
    <xf numFmtId="4" fontId="17" fillId="0" borderId="54" xfId="0" applyNumberFormat="1" applyFont="1" applyBorder="1" applyAlignment="1">
      <alignment horizontal="center"/>
    </xf>
    <xf numFmtId="0" fontId="1" fillId="0" borderId="36" xfId="0" applyFont="1" applyBorder="1"/>
    <xf numFmtId="4" fontId="17" fillId="0" borderId="90" xfId="0" applyNumberFormat="1" applyFont="1" applyBorder="1" applyAlignment="1">
      <alignment horizontal="center"/>
    </xf>
    <xf numFmtId="4" fontId="1" fillId="0" borderId="13" xfId="0" applyNumberFormat="1" applyFont="1" applyBorder="1" applyAlignment="1">
      <alignment horizontal="center"/>
    </xf>
    <xf numFmtId="164" fontId="17" fillId="0" borderId="52" xfId="0" applyNumberFormat="1" applyFont="1" applyBorder="1" applyAlignment="1">
      <alignment horizontal="center" vertical="center"/>
    </xf>
    <xf numFmtId="39" fontId="17" fillId="0" borderId="53" xfId="0" applyNumberFormat="1" applyFont="1" applyBorder="1" applyAlignment="1">
      <alignment horizontal="center" vertical="center"/>
    </xf>
    <xf numFmtId="0" fontId="6" fillId="0" borderId="42" xfId="0" applyFont="1" applyBorder="1"/>
    <xf numFmtId="0" fontId="6" fillId="0" borderId="91" xfId="0" applyFont="1" applyBorder="1"/>
    <xf numFmtId="0" fontId="6" fillId="0" borderId="92" xfId="0" applyFont="1" applyBorder="1"/>
    <xf numFmtId="0" fontId="6" fillId="0" borderId="11" xfId="0" applyFont="1" applyBorder="1"/>
    <xf numFmtId="0" fontId="6" fillId="0" borderId="13" xfId="0" applyFont="1" applyBorder="1"/>
    <xf numFmtId="4" fontId="6" fillId="0" borderId="14" xfId="0" applyNumberFormat="1" applyFont="1" applyBorder="1" applyAlignment="1">
      <alignment horizontal="right" vertical="center"/>
    </xf>
    <xf numFmtId="0" fontId="6" fillId="0" borderId="64" xfId="0" applyFont="1" applyBorder="1"/>
    <xf numFmtId="0" fontId="6" fillId="33" borderId="0" xfId="0" applyFont="1" applyFill="1"/>
    <xf numFmtId="173" fontId="6" fillId="0" borderId="37" xfId="0" applyNumberFormat="1" applyFont="1" applyBorder="1" applyAlignment="1">
      <alignment horizontal="right" vertical="center"/>
    </xf>
    <xf numFmtId="2" fontId="6" fillId="0" borderId="41" xfId="0" applyNumberFormat="1" applyFont="1" applyBorder="1" applyAlignment="1">
      <alignment horizontal="center"/>
    </xf>
    <xf numFmtId="4" fontId="6" fillId="0" borderId="41" xfId="0" applyNumberFormat="1" applyFont="1" applyBorder="1"/>
    <xf numFmtId="0" fontId="6" fillId="0" borderId="41" xfId="0" applyFont="1" applyBorder="1"/>
    <xf numFmtId="3" fontId="6" fillId="0" borderId="41" xfId="0" applyNumberFormat="1" applyFont="1" applyBorder="1"/>
    <xf numFmtId="0" fontId="6" fillId="0" borderId="57" xfId="0" applyFont="1" applyBorder="1" applyAlignment="1">
      <alignment horizontal="left"/>
    </xf>
    <xf numFmtId="0" fontId="1" fillId="0" borderId="62" xfId="0" applyFont="1" applyBorder="1"/>
    <xf numFmtId="0" fontId="6" fillId="0" borderId="63" xfId="0" applyFont="1" applyBorder="1"/>
    <xf numFmtId="0" fontId="6" fillId="0" borderId="45" xfId="0" applyFont="1" applyBorder="1"/>
    <xf numFmtId="2" fontId="6" fillId="0" borderId="0" xfId="0" applyNumberFormat="1" applyFont="1"/>
    <xf numFmtId="0" fontId="18" fillId="0" borderId="0" xfId="0" applyFont="1"/>
    <xf numFmtId="1" fontId="6" fillId="0" borderId="41" xfId="0" applyNumberFormat="1" applyFont="1" applyBorder="1" applyAlignment="1">
      <alignment horizontal="center"/>
    </xf>
    <xf numFmtId="171" fontId="6" fillId="0" borderId="41" xfId="0" applyNumberFormat="1" applyFont="1" applyBorder="1"/>
    <xf numFmtId="171" fontId="6" fillId="0" borderId="0" xfId="0" applyNumberFormat="1" applyFont="1"/>
    <xf numFmtId="0" fontId="1" fillId="0" borderId="0" xfId="0" applyFont="1" applyAlignment="1">
      <alignment horizontal="left"/>
    </xf>
    <xf numFmtId="171" fontId="6" fillId="0" borderId="27" xfId="0" applyNumberFormat="1" applyFont="1" applyBorder="1" applyAlignment="1">
      <alignment horizontal="center" vertical="center"/>
    </xf>
    <xf numFmtId="170" fontId="6" fillId="0" borderId="27" xfId="0" applyNumberFormat="1" applyFont="1" applyBorder="1" applyAlignment="1">
      <alignment horizontal="center" vertical="center"/>
    </xf>
    <xf numFmtId="175" fontId="6" fillId="0" borderId="27" xfId="0" applyNumberFormat="1" applyFont="1" applyBorder="1" applyAlignment="1">
      <alignment horizontal="center" vertical="center"/>
    </xf>
    <xf numFmtId="2" fontId="6" fillId="0" borderId="27" xfId="0" applyNumberFormat="1" applyFont="1" applyBorder="1" applyAlignment="1">
      <alignment horizontal="center" vertical="center"/>
    </xf>
    <xf numFmtId="171" fontId="6" fillId="0" borderId="42" xfId="0" applyNumberFormat="1" applyFont="1" applyBorder="1" applyAlignment="1">
      <alignment vertical="center"/>
    </xf>
    <xf numFmtId="175" fontId="6" fillId="0" borderId="42" xfId="0" applyNumberFormat="1" applyFont="1" applyBorder="1" applyAlignment="1">
      <alignment vertical="center"/>
    </xf>
    <xf numFmtId="2" fontId="6" fillId="0" borderId="42" xfId="0" applyNumberFormat="1" applyFont="1" applyBorder="1" applyAlignment="1">
      <alignment vertical="center"/>
    </xf>
    <xf numFmtId="0" fontId="1" fillId="33" borderId="0" xfId="0" applyFont="1" applyFill="1"/>
    <xf numFmtId="0" fontId="33" fillId="33" borderId="0" xfId="0" applyFont="1" applyFill="1"/>
    <xf numFmtId="0" fontId="17" fillId="33" borderId="27" xfId="0" applyFont="1" applyFill="1" applyBorder="1"/>
    <xf numFmtId="0" fontId="17" fillId="33" borderId="61" xfId="0" applyFont="1" applyFill="1" applyBorder="1" applyAlignment="1">
      <alignment horizontal="center"/>
    </xf>
    <xf numFmtId="0" fontId="1" fillId="33" borderId="13" xfId="0" applyFont="1" applyFill="1" applyBorder="1"/>
    <xf numFmtId="0" fontId="17" fillId="33" borderId="13" xfId="0" applyFont="1" applyFill="1" applyBorder="1"/>
    <xf numFmtId="16" fontId="17" fillId="33" borderId="13" xfId="0" applyNumberFormat="1" applyFont="1" applyFill="1" applyBorder="1" applyAlignment="1">
      <alignment horizontal="center"/>
    </xf>
    <xf numFmtId="167" fontId="26" fillId="0" borderId="93" xfId="0" applyNumberFormat="1" applyFont="1" applyBorder="1" applyAlignment="1">
      <alignment horizontal="center" wrapText="1"/>
    </xf>
    <xf numFmtId="4" fontId="27" fillId="0" borderId="94" xfId="0" applyNumberFormat="1" applyFont="1" applyBorder="1" applyAlignment="1">
      <alignment horizontal="center" wrapText="1"/>
    </xf>
    <xf numFmtId="4" fontId="27" fillId="0" borderId="57" xfId="0" applyNumberFormat="1" applyFont="1" applyBorder="1" applyAlignment="1">
      <alignment horizontal="center" wrapText="1"/>
    </xf>
    <xf numFmtId="4" fontId="27" fillId="0" borderId="28" xfId="0" applyNumberFormat="1" applyFont="1" applyBorder="1" applyAlignment="1">
      <alignment horizontal="center" wrapText="1"/>
    </xf>
    <xf numFmtId="4" fontId="27" fillId="33" borderId="39" xfId="0" applyNumberFormat="1" applyFont="1" applyFill="1" applyBorder="1" applyAlignment="1">
      <alignment horizontal="center" wrapText="1"/>
    </xf>
    <xf numFmtId="167" fontId="26" fillId="0" borderId="49" xfId="0" applyNumberFormat="1" applyFont="1" applyBorder="1" applyAlignment="1">
      <alignment horizontal="center" wrapText="1"/>
    </xf>
    <xf numFmtId="4" fontId="27" fillId="0" borderId="95" xfId="0" applyNumberFormat="1" applyFont="1" applyBorder="1" applyAlignment="1">
      <alignment horizontal="center" wrapText="1"/>
    </xf>
    <xf numFmtId="167" fontId="26" fillId="0" borderId="96" xfId="0" applyNumberFormat="1" applyFont="1" applyBorder="1" applyAlignment="1">
      <alignment horizontal="center" wrapText="1"/>
    </xf>
    <xf numFmtId="4" fontId="27" fillId="0" borderId="63" xfId="0" applyNumberFormat="1" applyFont="1" applyBorder="1" applyAlignment="1">
      <alignment horizontal="center" wrapText="1"/>
    </xf>
    <xf numFmtId="4" fontId="27" fillId="0" borderId="89" xfId="0" applyNumberFormat="1" applyFont="1" applyBorder="1" applyAlignment="1">
      <alignment horizontal="center" wrapText="1"/>
    </xf>
    <xf numFmtId="4" fontId="27" fillId="0" borderId="97" xfId="0" applyNumberFormat="1" applyFont="1" applyBorder="1" applyAlignment="1">
      <alignment horizontal="center" wrapText="1"/>
    </xf>
    <xf numFmtId="0" fontId="17" fillId="33" borderId="46" xfId="0" applyFont="1" applyFill="1" applyBorder="1"/>
    <xf numFmtId="4" fontId="17" fillId="33" borderId="47" xfId="0" applyNumberFormat="1" applyFont="1" applyFill="1" applyBorder="1"/>
    <xf numFmtId="4" fontId="17" fillId="33" borderId="20" xfId="0" applyNumberFormat="1" applyFont="1" applyFill="1" applyBorder="1"/>
    <xf numFmtId="0" fontId="17" fillId="33" borderId="61" xfId="0" applyFont="1" applyFill="1" applyBorder="1"/>
    <xf numFmtId="4" fontId="17" fillId="33" borderId="61" xfId="0" applyNumberFormat="1" applyFont="1" applyFill="1" applyBorder="1"/>
    <xf numFmtId="4" fontId="24" fillId="33" borderId="33" xfId="0" applyNumberFormat="1" applyFont="1" applyFill="1" applyBorder="1" applyAlignment="1">
      <alignment horizontal="center"/>
    </xf>
    <xf numFmtId="4" fontId="17" fillId="33" borderId="98" xfId="0" applyNumberFormat="1" applyFont="1" applyFill="1" applyBorder="1" applyAlignment="1">
      <alignment horizontal="center"/>
    </xf>
    <xf numFmtId="167" fontId="34" fillId="33" borderId="13" xfId="0" applyNumberFormat="1" applyFont="1" applyFill="1" applyBorder="1" applyAlignment="1">
      <alignment horizontal="center" wrapText="1"/>
    </xf>
    <xf numFmtId="4" fontId="17" fillId="33" borderId="13" xfId="0" applyNumberFormat="1" applyFont="1" applyFill="1" applyBorder="1" applyAlignment="1">
      <alignment horizontal="center"/>
    </xf>
    <xf numFmtId="164" fontId="17" fillId="33" borderId="47" xfId="0" applyNumberFormat="1" applyFont="1" applyFill="1" applyBorder="1"/>
    <xf numFmtId="4" fontId="1" fillId="33" borderId="0" xfId="0" applyNumberFormat="1" applyFont="1" applyFill="1"/>
    <xf numFmtId="16" fontId="17" fillId="33" borderId="61" xfId="0" applyNumberFormat="1" applyFont="1" applyFill="1" applyBorder="1" applyAlignment="1">
      <alignment horizontal="center"/>
    </xf>
    <xf numFmtId="0" fontId="17" fillId="33" borderId="67" xfId="0" applyFont="1" applyFill="1" applyBorder="1" applyAlignment="1">
      <alignment horizontal="center"/>
    </xf>
    <xf numFmtId="0" fontId="17" fillId="33" borderId="62" xfId="0" applyFont="1" applyFill="1" applyBorder="1" applyAlignment="1">
      <alignment horizontal="center"/>
    </xf>
    <xf numFmtId="0" fontId="17" fillId="33" borderId="99" xfId="0" applyFont="1" applyFill="1" applyBorder="1" applyAlignment="1">
      <alignment horizontal="center"/>
    </xf>
    <xf numFmtId="0" fontId="17" fillId="33" borderId="89" xfId="0" applyFont="1" applyFill="1" applyBorder="1" applyAlignment="1">
      <alignment horizontal="center"/>
    </xf>
    <xf numFmtId="171" fontId="27" fillId="0" borderId="33" xfId="0" applyNumberFormat="1" applyFont="1" applyBorder="1" applyAlignment="1">
      <alignment horizontal="center" wrapText="1"/>
    </xf>
    <xf numFmtId="171" fontId="27" fillId="0" borderId="34" xfId="0" applyNumberFormat="1" applyFont="1" applyBorder="1" applyAlignment="1">
      <alignment horizontal="center" wrapText="1"/>
    </xf>
    <xf numFmtId="4" fontId="17" fillId="33" borderId="43" xfId="0" applyNumberFormat="1" applyFont="1" applyFill="1" applyBorder="1"/>
    <xf numFmtId="4" fontId="17" fillId="33" borderId="17" xfId="0" applyNumberFormat="1" applyFont="1" applyFill="1" applyBorder="1" applyAlignment="1">
      <alignment horizontal="center"/>
    </xf>
    <xf numFmtId="2" fontId="17" fillId="33" borderId="52" xfId="0" applyNumberFormat="1" applyFont="1" applyFill="1" applyBorder="1" applyAlignment="1">
      <alignment horizontal="center"/>
    </xf>
    <xf numFmtId="0" fontId="1" fillId="33" borderId="56" xfId="0" applyFont="1" applyFill="1" applyBorder="1"/>
    <xf numFmtId="0" fontId="33" fillId="0" borderId="0" xfId="0" applyFont="1"/>
    <xf numFmtId="0" fontId="17" fillId="0" borderId="0" xfId="0" applyFont="1"/>
    <xf numFmtId="0" fontId="30" fillId="0" borderId="0" xfId="0" applyFont="1" applyAlignment="1">
      <alignment vertic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35" fillId="0" borderId="0" xfId="0" applyFont="1"/>
    <xf numFmtId="173" fontId="30" fillId="0" borderId="0" xfId="0" applyNumberFormat="1" applyFont="1"/>
    <xf numFmtId="164" fontId="30" fillId="0" borderId="0" xfId="0" applyNumberFormat="1" applyFont="1"/>
    <xf numFmtId="0" fontId="1" fillId="0" borderId="63" xfId="0" applyFont="1" applyBorder="1" applyAlignment="1">
      <alignment horizontal="center"/>
    </xf>
    <xf numFmtId="4" fontId="27" fillId="0" borderId="61" xfId="0" applyNumberFormat="1" applyFont="1" applyBorder="1" applyAlignment="1">
      <alignment horizontal="center" wrapText="1"/>
    </xf>
    <xf numFmtId="167" fontId="34" fillId="35" borderId="13" xfId="0" applyNumberFormat="1" applyFont="1" applyFill="1" applyBorder="1" applyAlignment="1">
      <alignment horizontal="center" wrapText="1"/>
    </xf>
    <xf numFmtId="0" fontId="6" fillId="0" borderId="57" xfId="0" applyFont="1" applyBorder="1"/>
    <xf numFmtId="3" fontId="6" fillId="0" borderId="41" xfId="0" applyNumberFormat="1" applyFont="1" applyBorder="1" applyAlignment="1">
      <alignment horizontal="right"/>
    </xf>
    <xf numFmtId="0" fontId="6" fillId="0" borderId="12" xfId="0" applyFont="1" applyBorder="1" applyAlignment="1">
      <alignment vertical="center"/>
    </xf>
    <xf numFmtId="4" fontId="1" fillId="0" borderId="22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57" xfId="0" applyFont="1" applyBorder="1" applyAlignment="1">
      <alignment horizontal="center"/>
    </xf>
    <xf numFmtId="4" fontId="1" fillId="0" borderId="61" xfId="0" applyNumberFormat="1" applyFont="1" applyBorder="1" applyAlignment="1">
      <alignment horizontal="center"/>
    </xf>
    <xf numFmtId="0" fontId="6" fillId="0" borderId="42" xfId="0" applyFont="1" applyBorder="1" applyAlignment="1">
      <alignment horizontal="right"/>
    </xf>
    <xf numFmtId="0" fontId="6" fillId="0" borderId="42" xfId="0" applyFont="1" applyBorder="1" applyAlignment="1">
      <alignment horizontal="left"/>
    </xf>
    <xf numFmtId="0" fontId="6" fillId="0" borderId="12" xfId="0" applyFont="1" applyBorder="1" applyAlignment="1">
      <alignment horizontal="right"/>
    </xf>
    <xf numFmtId="170" fontId="6" fillId="0" borderId="0" xfId="0" applyNumberFormat="1" applyFont="1"/>
    <xf numFmtId="1" fontId="6" fillId="0" borderId="14" xfId="0" applyNumberFormat="1" applyFont="1" applyBorder="1"/>
    <xf numFmtId="0" fontId="6" fillId="0" borderId="14" xfId="0" applyFont="1" applyBorder="1"/>
    <xf numFmtId="170" fontId="6" fillId="0" borderId="41" xfId="0" applyNumberFormat="1" applyFont="1" applyBorder="1"/>
    <xf numFmtId="0" fontId="30" fillId="0" borderId="27" xfId="0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  <xf numFmtId="4" fontId="36" fillId="0" borderId="27" xfId="0" applyNumberFormat="1" applyFont="1" applyBorder="1" applyAlignment="1">
      <alignment horizontal="center"/>
    </xf>
    <xf numFmtId="4" fontId="6" fillId="0" borderId="27" xfId="0" applyNumberFormat="1" applyFont="1" applyBorder="1" applyAlignment="1">
      <alignment horizontal="center" vertical="center"/>
    </xf>
    <xf numFmtId="4" fontId="30" fillId="0" borderId="27" xfId="0" applyNumberFormat="1" applyFont="1" applyBorder="1" applyAlignment="1">
      <alignment horizontal="center" vertical="center"/>
    </xf>
    <xf numFmtId="4" fontId="37" fillId="0" borderId="27" xfId="0" applyNumberFormat="1" applyFont="1" applyBorder="1" applyAlignment="1">
      <alignment horizontal="center" vertical="center"/>
    </xf>
    <xf numFmtId="0" fontId="37" fillId="35" borderId="27" xfId="0" applyFont="1" applyFill="1" applyBorder="1" applyAlignment="1">
      <alignment horizontal="center" vertical="center"/>
    </xf>
    <xf numFmtId="4" fontId="37" fillId="35" borderId="27" xfId="0" applyNumberFormat="1" applyFont="1" applyFill="1" applyBorder="1" applyAlignment="1">
      <alignment horizontal="center" vertical="center"/>
    </xf>
    <xf numFmtId="0" fontId="1" fillId="0" borderId="98" xfId="0" applyFont="1" applyBorder="1" applyAlignment="1">
      <alignment horizontal="center"/>
    </xf>
    <xf numFmtId="0" fontId="6" fillId="0" borderId="93" xfId="0" applyFont="1" applyBorder="1"/>
    <xf numFmtId="0" fontId="6" fillId="0" borderId="23" xfId="0" applyFont="1" applyBorder="1"/>
    <xf numFmtId="0" fontId="6" fillId="0" borderId="49" xfId="0" applyFont="1" applyBorder="1"/>
    <xf numFmtId="0" fontId="6" fillId="0" borderId="30" xfId="0" applyFont="1" applyBorder="1"/>
    <xf numFmtId="1" fontId="6" fillId="0" borderId="96" xfId="0" applyNumberFormat="1" applyFont="1" applyBorder="1"/>
    <xf numFmtId="0" fontId="6" fillId="0" borderId="34" xfId="0" applyFont="1" applyBorder="1"/>
    <xf numFmtId="3" fontId="6" fillId="0" borderId="0" xfId="0" applyNumberFormat="1" applyFont="1"/>
    <xf numFmtId="0" fontId="6" fillId="0" borderId="62" xfId="0" applyFont="1" applyBorder="1"/>
    <xf numFmtId="173" fontId="6" fillId="0" borderId="0" xfId="0" applyNumberFormat="1" applyFont="1"/>
    <xf numFmtId="11" fontId="6" fillId="0" borderId="0" xfId="0" applyNumberFormat="1" applyFont="1"/>
    <xf numFmtId="0" fontId="17" fillId="0" borderId="21" xfId="0" applyFont="1" applyBorder="1"/>
    <xf numFmtId="0" fontId="1" fillId="0" borderId="24" xfId="0" applyFont="1" applyBorder="1"/>
    <xf numFmtId="0" fontId="1" fillId="0" borderId="100" xfId="0" applyFont="1" applyBorder="1"/>
    <xf numFmtId="0" fontId="1" fillId="0" borderId="25" xfId="0" applyFont="1" applyBorder="1"/>
    <xf numFmtId="0" fontId="17" fillId="0" borderId="26" xfId="0" applyFont="1" applyBorder="1"/>
    <xf numFmtId="0" fontId="1" fillId="0" borderId="29" xfId="0" applyFont="1" applyBorder="1"/>
    <xf numFmtId="0" fontId="1" fillId="0" borderId="92" xfId="0" applyFont="1" applyBorder="1"/>
    <xf numFmtId="0" fontId="1" fillId="0" borderId="31" xfId="0" applyFont="1" applyBorder="1"/>
    <xf numFmtId="1" fontId="17" fillId="0" borderId="32" xfId="0" applyNumberFormat="1" applyFont="1" applyBorder="1"/>
    <xf numFmtId="0" fontId="1" fillId="0" borderId="87" xfId="0" applyFont="1" applyBorder="1"/>
    <xf numFmtId="0" fontId="1" fillId="0" borderId="11" xfId="0" applyFont="1" applyBorder="1"/>
    <xf numFmtId="0" fontId="1" fillId="0" borderId="35" xfId="0" applyFont="1" applyBorder="1"/>
    <xf numFmtId="0" fontId="1" fillId="0" borderId="41" xfId="0" applyFont="1" applyBorder="1"/>
    <xf numFmtId="0" fontId="1" fillId="0" borderId="42" xfId="0" applyFont="1" applyBorder="1"/>
    <xf numFmtId="3" fontId="1" fillId="0" borderId="41" xfId="0" applyNumberFormat="1" applyFont="1" applyBorder="1"/>
    <xf numFmtId="0" fontId="1" fillId="0" borderId="44" xfId="0" applyFont="1" applyBorder="1"/>
    <xf numFmtId="171" fontId="1" fillId="0" borderId="41" xfId="0" applyNumberFormat="1" applyFont="1" applyBorder="1"/>
    <xf numFmtId="175" fontId="1" fillId="0" borderId="0" xfId="0" applyNumberFormat="1" applyFont="1"/>
    <xf numFmtId="0" fontId="30" fillId="0" borderId="21" xfId="0" applyFont="1" applyBorder="1"/>
    <xf numFmtId="0" fontId="6" fillId="0" borderId="100" xfId="0" applyFont="1" applyBorder="1"/>
    <xf numFmtId="0" fontId="30" fillId="0" borderId="26" xfId="0" applyFont="1" applyBorder="1"/>
    <xf numFmtId="1" fontId="30" fillId="0" borderId="32" xfId="0" applyNumberFormat="1" applyFont="1" applyBorder="1"/>
    <xf numFmtId="171" fontId="1" fillId="0" borderId="0" xfId="0" applyNumberFormat="1" applyFont="1" applyAlignment="1">
      <alignment horizontal="center"/>
    </xf>
    <xf numFmtId="1" fontId="30" fillId="0" borderId="0" xfId="0" applyNumberFormat="1" applyFont="1"/>
    <xf numFmtId="0" fontId="38" fillId="0" borderId="102" xfId="0" applyFont="1" applyBorder="1" applyAlignment="1">
      <alignment horizontal="center" vertical="center" wrapText="1"/>
    </xf>
    <xf numFmtId="0" fontId="38" fillId="0" borderId="103" xfId="0" applyFont="1" applyBorder="1" applyAlignment="1">
      <alignment horizontal="center" vertical="center" wrapText="1"/>
    </xf>
    <xf numFmtId="176" fontId="38" fillId="0" borderId="103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177" fontId="39" fillId="0" borderId="0" xfId="0" applyNumberFormat="1" applyFont="1" applyAlignment="1">
      <alignment horizontal="right" vertical="center"/>
    </xf>
    <xf numFmtId="177" fontId="38" fillId="36" borderId="0" xfId="0" applyNumberFormat="1" applyFont="1" applyFill="1" applyAlignment="1">
      <alignment horizontal="right" vertical="center"/>
    </xf>
    <xf numFmtId="0" fontId="38" fillId="37" borderId="0" xfId="0" applyFont="1" applyFill="1" applyAlignment="1">
      <alignment vertical="center"/>
    </xf>
    <xf numFmtId="0" fontId="39" fillId="37" borderId="0" xfId="0" applyFont="1" applyFill="1" applyAlignment="1">
      <alignment vertical="center"/>
    </xf>
    <xf numFmtId="177" fontId="39" fillId="37" borderId="0" xfId="0" applyNumberFormat="1" applyFont="1" applyFill="1" applyAlignment="1">
      <alignment horizontal="right" vertical="center"/>
    </xf>
    <xf numFmtId="178" fontId="39" fillId="0" borderId="0" xfId="0" applyNumberFormat="1" applyFont="1" applyAlignment="1">
      <alignment horizontal="right" vertical="center"/>
    </xf>
    <xf numFmtId="178" fontId="38" fillId="36" borderId="0" xfId="0" applyNumberFormat="1" applyFont="1" applyFill="1" applyAlignment="1">
      <alignment horizontal="right" vertical="center"/>
    </xf>
    <xf numFmtId="0" fontId="38" fillId="37" borderId="101" xfId="0" applyFont="1" applyFill="1" applyBorder="1" applyAlignment="1">
      <alignment vertical="center"/>
    </xf>
    <xf numFmtId="0" fontId="39" fillId="37" borderId="101" xfId="0" applyFont="1" applyFill="1" applyBorder="1" applyAlignment="1">
      <alignment vertical="center"/>
    </xf>
    <xf numFmtId="177" fontId="39" fillId="37" borderId="101" xfId="0" applyNumberFormat="1" applyFont="1" applyFill="1" applyBorder="1" applyAlignment="1">
      <alignment horizontal="right" vertical="center"/>
    </xf>
    <xf numFmtId="177" fontId="38" fillId="36" borderId="101" xfId="0" applyNumberFormat="1" applyFont="1" applyFill="1" applyBorder="1" applyAlignment="1">
      <alignment horizontal="right" vertical="center"/>
    </xf>
    <xf numFmtId="177" fontId="38" fillId="38" borderId="105" xfId="0" applyNumberFormat="1" applyFont="1" applyFill="1" applyBorder="1" applyAlignment="1">
      <alignment horizontal="right" vertical="center"/>
    </xf>
    <xf numFmtId="4" fontId="39" fillId="0" borderId="0" xfId="0" applyNumberFormat="1" applyFont="1" applyAlignment="1">
      <alignment horizontal="right" vertical="center"/>
    </xf>
    <xf numFmtId="4" fontId="39" fillId="36" borderId="0" xfId="0" applyNumberFormat="1" applyFont="1" applyFill="1" applyAlignment="1">
      <alignment horizontal="right" vertical="center"/>
    </xf>
    <xf numFmtId="3" fontId="39" fillId="0" borderId="0" xfId="0" applyNumberFormat="1" applyFont="1" applyAlignment="1">
      <alignment horizontal="right" vertical="center"/>
    </xf>
    <xf numFmtId="3" fontId="39" fillId="36" borderId="0" xfId="0" applyNumberFormat="1" applyFont="1" applyFill="1" applyAlignment="1">
      <alignment horizontal="right" vertical="center"/>
    </xf>
    <xf numFmtId="175" fontId="39" fillId="0" borderId="0" xfId="0" applyNumberFormat="1" applyFont="1" applyAlignment="1">
      <alignment horizontal="right" vertical="center"/>
    </xf>
    <xf numFmtId="175" fontId="39" fillId="36" borderId="0" xfId="0" applyNumberFormat="1" applyFont="1" applyFill="1" applyAlignment="1">
      <alignment horizontal="right" vertical="center"/>
    </xf>
    <xf numFmtId="177" fontId="39" fillId="36" borderId="0" xfId="0" applyNumberFormat="1" applyFont="1" applyFill="1" applyAlignment="1">
      <alignment horizontal="right" vertical="center"/>
    </xf>
    <xf numFmtId="178" fontId="39" fillId="36" borderId="0" xfId="0" applyNumberFormat="1" applyFont="1" applyFill="1" applyAlignment="1">
      <alignment horizontal="right" vertical="center"/>
    </xf>
    <xf numFmtId="171" fontId="39" fillId="0" borderId="0" xfId="0" applyNumberFormat="1" applyFont="1" applyAlignment="1">
      <alignment horizontal="right" vertical="center"/>
    </xf>
    <xf numFmtId="0" fontId="40" fillId="0" borderId="0" xfId="0" applyFont="1" applyAlignment="1">
      <alignment vertical="center"/>
    </xf>
    <xf numFmtId="177" fontId="40" fillId="0" borderId="0" xfId="0" applyNumberFormat="1" applyFont="1" applyAlignment="1">
      <alignment horizontal="right" vertical="center"/>
    </xf>
    <xf numFmtId="0" fontId="40" fillId="0" borderId="0" xfId="0" applyFont="1"/>
    <xf numFmtId="0" fontId="41" fillId="0" borderId="0" xfId="0" applyFont="1"/>
    <xf numFmtId="0" fontId="38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178" fontId="39" fillId="39" borderId="0" xfId="0" applyNumberFormat="1" applyFont="1" applyFill="1" applyAlignment="1">
      <alignment horizontal="right" vertical="center"/>
    </xf>
    <xf numFmtId="179" fontId="39" fillId="0" borderId="0" xfId="0" applyNumberFormat="1" applyFont="1" applyAlignment="1">
      <alignment horizontal="right" vertical="center"/>
    </xf>
    <xf numFmtId="179" fontId="39" fillId="39" borderId="0" xfId="0" applyNumberFormat="1" applyFont="1" applyFill="1" applyAlignment="1">
      <alignment horizontal="right" vertical="center"/>
    </xf>
    <xf numFmtId="171" fontId="39" fillId="39" borderId="0" xfId="0" applyNumberFormat="1" applyFont="1" applyFill="1" applyAlignment="1">
      <alignment horizontal="right" vertical="center"/>
    </xf>
    <xf numFmtId="0" fontId="38" fillId="38" borderId="0" xfId="0" applyFont="1" applyFill="1" applyAlignment="1">
      <alignment horizontal="right" vertical="center"/>
    </xf>
    <xf numFmtId="173" fontId="39" fillId="0" borderId="0" xfId="0" applyNumberFormat="1" applyFont="1" applyAlignment="1">
      <alignment horizontal="right" vertical="center"/>
    </xf>
    <xf numFmtId="173" fontId="39" fillId="39" borderId="0" xfId="0" applyNumberFormat="1" applyFont="1" applyFill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38" fillId="39" borderId="0" xfId="0" applyFont="1" applyFill="1" applyAlignment="1">
      <alignment vertical="center"/>
    </xf>
    <xf numFmtId="0" fontId="38" fillId="39" borderId="0" xfId="0" applyFont="1" applyFill="1" applyAlignment="1">
      <alignment horizontal="right" vertical="center"/>
    </xf>
    <xf numFmtId="180" fontId="39" fillId="0" borderId="0" xfId="0" applyNumberFormat="1" applyFont="1" applyAlignment="1">
      <alignment horizontal="right" vertical="center"/>
    </xf>
    <xf numFmtId="180" fontId="39" fillId="39" borderId="0" xfId="0" applyNumberFormat="1" applyFont="1" applyFill="1" applyAlignment="1">
      <alignment horizontal="right" vertical="center"/>
    </xf>
    <xf numFmtId="181" fontId="39" fillId="0" borderId="0" xfId="0" applyNumberFormat="1" applyFont="1" applyAlignment="1">
      <alignment horizontal="right" vertical="center"/>
    </xf>
    <xf numFmtId="0" fontId="6" fillId="0" borderId="41" xfId="0" applyFont="1" applyBorder="1" applyAlignment="1">
      <alignment horizontal="center" vertical="center"/>
    </xf>
    <xf numFmtId="0" fontId="24" fillId="33" borderId="46" xfId="0" applyFont="1" applyFill="1" applyBorder="1" applyAlignment="1">
      <alignment horizontal="center"/>
    </xf>
    <xf numFmtId="0" fontId="24" fillId="33" borderId="0" xfId="0" applyFont="1" applyFill="1" applyAlignment="1">
      <alignment horizontal="center"/>
    </xf>
    <xf numFmtId="0" fontId="30" fillId="0" borderId="0" xfId="0" applyFont="1" applyAlignment="1">
      <alignment horizontal="left"/>
    </xf>
    <xf numFmtId="0" fontId="6" fillId="0" borderId="41" xfId="0" applyFont="1" applyBorder="1" applyAlignment="1">
      <alignment horizontal="center"/>
    </xf>
    <xf numFmtId="0" fontId="17" fillId="33" borderId="27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44" xfId="0" applyFont="1" applyBorder="1" applyAlignment="1">
      <alignment horizontal="center"/>
    </xf>
    <xf numFmtId="0" fontId="24" fillId="33" borderId="13" xfId="0" applyFont="1" applyFill="1" applyBorder="1" applyAlignment="1">
      <alignment horizontal="center"/>
    </xf>
    <xf numFmtId="0" fontId="24" fillId="33" borderId="37" xfId="0" applyFont="1" applyFill="1" applyBorder="1" applyAlignment="1">
      <alignment horizontal="center" vertical="center"/>
    </xf>
    <xf numFmtId="0" fontId="24" fillId="33" borderId="40" xfId="0" applyFont="1" applyFill="1" applyBorder="1" applyAlignment="1">
      <alignment horizontal="center"/>
    </xf>
    <xf numFmtId="0" fontId="24" fillId="33" borderId="15" xfId="0" applyFont="1" applyFill="1" applyBorder="1" applyAlignment="1">
      <alignment horizontal="center"/>
    </xf>
    <xf numFmtId="0" fontId="24" fillId="33" borderId="14" xfId="0" applyFont="1" applyFill="1" applyBorder="1" applyAlignment="1">
      <alignment horizontal="center"/>
    </xf>
    <xf numFmtId="0" fontId="24" fillId="33" borderId="38" xfId="0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30" fillId="0" borderId="51" xfId="0" applyNumberFormat="1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24" fillId="33" borderId="13" xfId="0" applyFont="1" applyFill="1" applyBorder="1" applyAlignment="1">
      <alignment horizontal="center" vertical="center"/>
    </xf>
    <xf numFmtId="0" fontId="24" fillId="33" borderId="58" xfId="0" applyFont="1" applyFill="1" applyBorder="1" applyAlignment="1">
      <alignment horizontal="center"/>
    </xf>
    <xf numFmtId="0" fontId="24" fillId="33" borderId="14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24" fillId="33" borderId="64" xfId="0" applyFont="1" applyFill="1" applyBorder="1" applyAlignment="1">
      <alignment horizontal="center"/>
    </xf>
    <xf numFmtId="0" fontId="24" fillId="33" borderId="46" xfId="0" applyFont="1" applyFill="1" applyBorder="1" applyAlignment="1">
      <alignment horizontal="center"/>
    </xf>
    <xf numFmtId="0" fontId="24" fillId="33" borderId="21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/>
    </xf>
    <xf numFmtId="0" fontId="30" fillId="0" borderId="0" xfId="0" applyFont="1" applyAlignment="1">
      <alignment horizontal="left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24" fillId="33" borderId="51" xfId="0" applyFont="1" applyFill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17" fillId="33" borderId="27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16" fontId="17" fillId="33" borderId="13" xfId="0" applyNumberFormat="1" applyFont="1" applyFill="1" applyBorder="1" applyAlignment="1">
      <alignment horizontal="center" vertical="center"/>
    </xf>
    <xf numFmtId="0" fontId="17" fillId="33" borderId="21" xfId="0" applyFont="1" applyFill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30" fillId="0" borderId="27" xfId="0" applyFont="1" applyBorder="1" applyAlignment="1">
      <alignment horizontal="center" vertical="center" wrapText="1"/>
    </xf>
    <xf numFmtId="4" fontId="17" fillId="0" borderId="27" xfId="0" applyNumberFormat="1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3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30" fillId="0" borderId="36" xfId="0" applyFont="1" applyBorder="1" applyAlignment="1">
      <alignment horizontal="center"/>
    </xf>
    <xf numFmtId="0" fontId="38" fillId="0" borderId="101" xfId="0" applyFont="1" applyBorder="1" applyAlignment="1">
      <alignment horizontal="center" vertical="center"/>
    </xf>
    <xf numFmtId="0" fontId="38" fillId="0" borderId="104" xfId="0" applyFont="1" applyBorder="1" applyAlignment="1">
      <alignment horizontal="center" vertical="center" wrapText="1"/>
    </xf>
    <xf numFmtId="0" fontId="38" fillId="38" borderId="105" xfId="0" applyFont="1" applyFill="1" applyBorder="1" applyAlignment="1">
      <alignment vertical="center" wrapText="1"/>
    </xf>
    <xf numFmtId="0" fontId="38" fillId="38" borderId="0" xfId="0" applyFont="1" applyFill="1" applyAlignment="1">
      <alignment vertical="center" wrapText="1"/>
    </xf>
    <xf numFmtId="0" fontId="38" fillId="0" borderId="106" xfId="0" applyFont="1" applyBorder="1" applyAlignment="1">
      <alignment horizontal="center" vertical="center"/>
    </xf>
  </cellXfs>
  <cellStyles count="48"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2000000}"/>
    <cellStyle name="60% - Accent2" xfId="14" xr:uid="{00000000-0005-0000-0000-000013000000}"/>
    <cellStyle name="60% - Accent3" xfId="15" xr:uid="{00000000-0005-0000-0000-000014000000}"/>
    <cellStyle name="60% - Accent4" xfId="16" xr:uid="{00000000-0005-0000-0000-000015000000}"/>
    <cellStyle name="60% - Accent5" xfId="17" xr:uid="{00000000-0005-0000-0000-000016000000}"/>
    <cellStyle name="60% - Accent6" xfId="18" xr:uid="{00000000-0005-0000-0000-000017000000}"/>
    <cellStyle name="Accent1" xfId="19" xr:uid="{00000000-0005-0000-0000-000018000000}"/>
    <cellStyle name="Accent2" xfId="20" xr:uid="{00000000-0005-0000-0000-000019000000}"/>
    <cellStyle name="Accent3" xfId="21" xr:uid="{00000000-0005-0000-0000-00001A000000}"/>
    <cellStyle name="Accent4" xfId="22" xr:uid="{00000000-0005-0000-0000-00001B000000}"/>
    <cellStyle name="Accent5" xfId="23" xr:uid="{00000000-0005-0000-0000-00001C000000}"/>
    <cellStyle name="Accent6" xfId="24" xr:uid="{00000000-0005-0000-0000-00001D000000}"/>
    <cellStyle name="Bad 4" xfId="25" xr:uid="{00000000-0005-0000-0000-00001E000000}"/>
    <cellStyle name="Calculation" xfId="26" xr:uid="{00000000-0005-0000-0000-00001F000000}"/>
    <cellStyle name="Check Cell" xfId="27" xr:uid="{00000000-0005-0000-0000-000020000000}"/>
    <cellStyle name="Comma 2" xfId="28" xr:uid="{00000000-0005-0000-0000-000021000000}"/>
    <cellStyle name="Explanatory Text" xfId="29" xr:uid="{00000000-0005-0000-0000-000022000000}"/>
    <cellStyle name="Good 3" xfId="30" xr:uid="{00000000-0005-0000-0000-000023000000}"/>
    <cellStyle name="Heading 1 1" xfId="31" xr:uid="{00000000-0005-0000-0000-000024000000}"/>
    <cellStyle name="Heading 2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 5" xfId="37" xr:uid="{00000000-0005-0000-0000-00002A000000}"/>
    <cellStyle name="Normal" xfId="0" builtinId="0"/>
    <cellStyle name="Normal 2" xfId="38" xr:uid="{00000000-0005-0000-0000-00002B000000}"/>
    <cellStyle name="Normal 2 2" xfId="39" xr:uid="{00000000-0005-0000-0000-00002C000000}"/>
    <cellStyle name="Normal 2 3" xfId="40" xr:uid="{00000000-0005-0000-0000-00002D000000}"/>
    <cellStyle name="Normal 3" xfId="41" xr:uid="{00000000-0005-0000-0000-00002E000000}"/>
    <cellStyle name="Note 6" xfId="42" xr:uid="{00000000-0005-0000-0000-00002F000000}"/>
    <cellStyle name="Output" xfId="43" xr:uid="{00000000-0005-0000-0000-000030000000}"/>
    <cellStyle name="Percent 2" xfId="44" xr:uid="{00000000-0005-0000-0000-000031000000}"/>
    <cellStyle name="Title 2" xfId="45" xr:uid="{00000000-0005-0000-0000-000032000000}"/>
    <cellStyle name="Total" xfId="46" xr:uid="{00000000-0005-0000-0000-000033000000}"/>
    <cellStyle name="Warning Text" xfId="47" xr:uid="{00000000-0005-0000-0000-000034000000}"/>
  </cellStyles>
  <dxfs count="1">
    <dxf>
      <font>
        <color rgb="FF805D20"/>
      </font>
      <fill>
        <patternFill>
          <bgColor rgb="FFFFF1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DCE6F2"/>
      <rgbColor rgb="FFF0F3F6"/>
      <rgbColor rgb="FFFFFF00"/>
      <rgbColor rgb="FFFFC7CE"/>
      <rgbColor rgb="FFC3D69B"/>
      <rgbColor rgb="FF9C0006"/>
      <rgbColor rgb="FF006100"/>
      <rgbColor rgb="FF253B50"/>
      <rgbColor rgb="FF9C6500"/>
      <rgbColor rgb="FFE7E6E6"/>
      <rgbColor rgb="FFD9D9D9"/>
      <rgbColor rgb="FFC0C0C0"/>
      <rgbColor rgb="FF7F7F7F"/>
      <rgbColor rgb="FF95B3D7"/>
      <rgbColor rgb="FFC0504D"/>
      <rgbColor rgb="FFFFFFCC"/>
      <rgbColor rgb="FFDBEEF4"/>
      <rgbColor rgb="FFEBF1DE"/>
      <rgbColor rgb="FFD99694"/>
      <rgbColor rgb="FF1F497D"/>
      <rgbColor rgb="FFB9CDE5"/>
      <rgbColor rgb="FFF5F6F7"/>
      <rgbColor rgb="FFF2DCDB"/>
      <rgbColor rgb="FFFCD5B5"/>
      <rgbColor rgb="FFD7E4BD"/>
      <rgbColor rgb="FFFDEADA"/>
      <rgbColor rgb="FFFFF1CC"/>
      <rgbColor rgb="FFE6E0EC"/>
      <rgbColor rgb="FFF2F2F2"/>
      <rgbColor rgb="FFB7DEE8"/>
      <rgbColor rgb="FFE9EFF5"/>
      <rgbColor rgb="FFC6EFCE"/>
      <rgbColor rgb="FFFFEB9C"/>
      <rgbColor rgb="FF93CDDD"/>
      <rgbColor rgb="FFE6B9B8"/>
      <rgbColor rgb="FFB3A2C7"/>
      <rgbColor rgb="FFFFCC99"/>
      <rgbColor rgb="FF4F81BD"/>
      <rgbColor rgb="FF4BACC6"/>
      <rgbColor rgb="FF9BBB59"/>
      <rgbColor rgb="FFFAC090"/>
      <rgbColor rgb="FFF79646"/>
      <rgbColor rgb="FFFA7D00"/>
      <rgbColor rgb="FF8064A2"/>
      <rgbColor rgb="FFA9A9A9"/>
      <rgbColor rgb="FF233E5B"/>
      <rgbColor rgb="FFAEC8E3"/>
      <rgbColor rgb="FF212222"/>
      <rgbColor rgb="FF222222"/>
      <rgbColor rgb="FF805D20"/>
      <rgbColor rgb="FFCCC1DA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5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S16" sqref="S16"/>
    </sheetView>
  </sheetViews>
  <sheetFormatPr defaultColWidth="8.7109375" defaultRowHeight="12.75" x14ac:dyDescent="0.2"/>
  <cols>
    <col min="1" max="1" width="14.28515625" customWidth="1"/>
    <col min="2" max="13" width="18" customWidth="1"/>
    <col min="14" max="14" width="20.7109375" customWidth="1"/>
    <col min="15" max="15" width="19.140625" customWidth="1"/>
  </cols>
  <sheetData>
    <row r="1" spans="1:15" ht="18.75" customHeight="1" x14ac:dyDescent="0.3">
      <c r="A1" s="1">
        <v>2025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57" customHeight="1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5" t="s">
        <v>13</v>
      </c>
      <c r="O2" s="5" t="s">
        <v>14</v>
      </c>
    </row>
    <row r="3" spans="1:15" ht="18.75" customHeight="1" x14ac:dyDescent="0.3">
      <c r="A3" s="6" t="s">
        <v>15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16</v>
      </c>
      <c r="I3" s="7" t="s">
        <v>16</v>
      </c>
      <c r="J3" s="7" t="s">
        <v>16</v>
      </c>
      <c r="K3" s="7" t="s">
        <v>16</v>
      </c>
      <c r="L3" s="7" t="s">
        <v>16</v>
      </c>
      <c r="M3" s="7" t="s">
        <v>16</v>
      </c>
      <c r="N3" s="7" t="s">
        <v>16</v>
      </c>
      <c r="O3" s="7" t="s">
        <v>16</v>
      </c>
    </row>
    <row r="4" spans="1:15" ht="15" customHeight="1" x14ac:dyDescent="0.25">
      <c r="A4" s="2" t="s">
        <v>17</v>
      </c>
      <c r="B4" s="8">
        <f>'Mensual 2025'!C52</f>
        <v>8.1556490115813602</v>
      </c>
      <c r="C4" s="8">
        <f>'Mensual 2025'!D52</f>
        <v>14.957834118091558</v>
      </c>
      <c r="D4" s="8">
        <f>'Mensual 2025'!E52</f>
        <v>20.423651336052117</v>
      </c>
      <c r="E4" s="8">
        <f>'Mensual 2025'!F52</f>
        <v>17.806100675213159</v>
      </c>
      <c r="F4" s="8">
        <f>'Mensual 2025'!G52</f>
        <v>14.278798741703758</v>
      </c>
      <c r="G4" s="8">
        <f>'Mensual 2025'!H52</f>
        <v>18.731875256569079</v>
      </c>
      <c r="H4" s="8">
        <f>'Mensual 2025'!I52</f>
        <v>19.256672986433102</v>
      </c>
      <c r="I4" s="8">
        <f>'Mensual 2025'!J52</f>
        <v>16.162582631034059</v>
      </c>
      <c r="J4" s="8">
        <f>'Mensual 2025'!K52</f>
        <v>16.815285853309799</v>
      </c>
      <c r="K4" s="8">
        <f>'Mensual 2025'!L52</f>
        <v>23.230482594724798</v>
      </c>
      <c r="L4" s="8">
        <f>'Mensual 2025'!M52</f>
        <v>17.54766585187776</v>
      </c>
      <c r="M4" s="8">
        <f>'Mensual 2025'!N52</f>
        <v>10.896366424127219</v>
      </c>
      <c r="N4" s="8">
        <f t="shared" ref="N4:N11" si="0">SUM(B4:M4)</f>
        <v>198.26296548071778</v>
      </c>
      <c r="O4" s="8">
        <v>2946.22</v>
      </c>
    </row>
    <row r="5" spans="1:15" ht="18" customHeight="1" x14ac:dyDescent="0.25">
      <c r="A5" s="2" t="s">
        <v>18</v>
      </c>
      <c r="B5" s="8">
        <f>'Mensual 2025'!C53</f>
        <v>9.7468946450553595</v>
      </c>
      <c r="C5" s="8">
        <f>'Mensual 2025'!D53</f>
        <v>19.011364559611557</v>
      </c>
      <c r="D5" s="8">
        <f>'Mensual 2025'!E53</f>
        <v>26.118042628362122</v>
      </c>
      <c r="E5" s="8">
        <f>'Mensual 2025'!F53</f>
        <v>22.633104461825162</v>
      </c>
      <c r="F5" s="8">
        <f>'Mensual 2025'!G53</f>
        <v>17.556383620229763</v>
      </c>
      <c r="G5" s="8">
        <f>'Mensual 2025'!H53</f>
        <v>22.67671048315308</v>
      </c>
      <c r="H5" s="8">
        <f>'Mensual 2025'!I53</f>
        <v>23.6242553561991</v>
      </c>
      <c r="I5" s="8">
        <f>'Mensual 2025'!J53</f>
        <v>19.879882004640059</v>
      </c>
      <c r="J5" s="8">
        <f>'Mensual 2025'!K53</f>
        <v>20.427577612651802</v>
      </c>
      <c r="K5" s="8">
        <f>'Mensual 2025'!L53</f>
        <v>28.862392594384801</v>
      </c>
      <c r="L5" s="8">
        <f>'Mensual 2025'!M53</f>
        <v>21.595769870801757</v>
      </c>
      <c r="M5" s="8">
        <f>'Mensual 2025'!N53</f>
        <v>13.663970178035218</v>
      </c>
      <c r="N5" s="8">
        <f t="shared" si="0"/>
        <v>245.79634801494976</v>
      </c>
      <c r="O5" s="9">
        <v>1430.51</v>
      </c>
    </row>
    <row r="6" spans="1:15" ht="18" customHeight="1" x14ac:dyDescent="0.25">
      <c r="A6" s="2" t="s">
        <v>19</v>
      </c>
      <c r="B6" s="8">
        <f>'Mensual 2025'!C55</f>
        <v>48.013777355952818</v>
      </c>
      <c r="C6" s="8">
        <f>'Mensual 2025'!D55</f>
        <v>142.52039986357067</v>
      </c>
      <c r="D6" s="8">
        <f>'Mensual 2025'!E55</f>
        <v>161.59957051427651</v>
      </c>
      <c r="E6" s="8">
        <f>'Mensual 2025'!F55</f>
        <v>142.86692408037169</v>
      </c>
      <c r="F6" s="8">
        <f>'Mensual 2025'!G55</f>
        <v>148.68475933512181</v>
      </c>
      <c r="G6" s="8">
        <f>'Mensual 2025'!H55</f>
        <v>158.54027334811508</v>
      </c>
      <c r="H6" s="8">
        <f>'Mensual 2025'!I55</f>
        <v>135.79834642638431</v>
      </c>
      <c r="I6" s="8">
        <f>'Mensual 2025'!J55</f>
        <v>153.79310723498568</v>
      </c>
      <c r="J6" s="8">
        <f>'Mensual 2025'!K55</f>
        <v>120.71514205022579</v>
      </c>
      <c r="K6" s="8">
        <f>'Mensual 2025'!L55</f>
        <v>142.81702048239779</v>
      </c>
      <c r="L6" s="8">
        <f>'Mensual 2025'!M55</f>
        <v>140.26464486046487</v>
      </c>
      <c r="M6" s="8">
        <f>'Mensual 2025'!N55</f>
        <v>115.68820149531035</v>
      </c>
      <c r="N6" s="8">
        <f t="shared" si="0"/>
        <v>1611.3021670471771</v>
      </c>
      <c r="O6" s="9">
        <v>7619.76</v>
      </c>
    </row>
    <row r="7" spans="1:15" ht="15" customHeight="1" x14ac:dyDescent="0.25">
      <c r="A7" s="2" t="s">
        <v>20</v>
      </c>
      <c r="B7" s="8">
        <f>'Mensual 2025'!C56</f>
        <v>67.336216881274254</v>
      </c>
      <c r="C7" s="8">
        <f>'Mensual 2025'!D56</f>
        <v>98.222268263744638</v>
      </c>
      <c r="D7" s="8">
        <f>'Mensual 2025'!E56</f>
        <v>116.43921611115437</v>
      </c>
      <c r="E7" s="8">
        <f>'Mensual 2025'!F56</f>
        <v>108.51105712397219</v>
      </c>
      <c r="F7" s="8">
        <f>'Mensual 2025'!G56</f>
        <v>122.24508830724633</v>
      </c>
      <c r="G7" s="8">
        <f>'Mensual 2025'!H56</f>
        <v>162.38681503023429</v>
      </c>
      <c r="H7" s="8">
        <f>'Mensual 2025'!I56</f>
        <v>145.97317374396997</v>
      </c>
      <c r="I7" s="8">
        <f>'Mensual 2025'!J56</f>
        <v>135.2199150746159</v>
      </c>
      <c r="J7" s="8">
        <f>'Mensual 2025'!K56</f>
        <v>137.0242036148972</v>
      </c>
      <c r="K7" s="8">
        <f>'Mensual 2025'!L56</f>
        <v>154.19178079257853</v>
      </c>
      <c r="L7" s="8">
        <f>'Mensual 2025'!M56</f>
        <v>139.9351707012994</v>
      </c>
      <c r="M7" s="8">
        <f>'Mensual 2025'!N56</f>
        <v>91.633878004876919</v>
      </c>
      <c r="N7" s="8">
        <f t="shared" si="0"/>
        <v>1479.1187836498639</v>
      </c>
      <c r="O7" s="9">
        <v>6739.2</v>
      </c>
    </row>
    <row r="8" spans="1:15" ht="15" customHeight="1" x14ac:dyDescent="0.25">
      <c r="A8" s="2" t="s">
        <v>21</v>
      </c>
      <c r="B8" s="8">
        <f>'Mensual 2025'!C58</f>
        <v>13.108606994939329</v>
      </c>
      <c r="C8" s="8">
        <f>'Mensual 2025'!D58</f>
        <v>15.725793110855358</v>
      </c>
      <c r="D8" s="8">
        <f>'Mensual 2025'!E58</f>
        <v>16.529173479108913</v>
      </c>
      <c r="E8" s="8">
        <f>'Mensual 2025'!F58</f>
        <v>16.469344774919495</v>
      </c>
      <c r="F8" s="8">
        <f>'Mensual 2025'!G58</f>
        <v>23.437603526919702</v>
      </c>
      <c r="G8" s="8">
        <f>'Mensual 2025'!H58</f>
        <v>31.774379623480705</v>
      </c>
      <c r="H8" s="8">
        <f>'Mensual 2025'!I58</f>
        <v>26.632898868000588</v>
      </c>
      <c r="I8" s="8">
        <f>'Mensual 2025'!J58</f>
        <v>25.677084343710394</v>
      </c>
      <c r="J8" s="8">
        <f>'Mensual 2025'!K58</f>
        <v>26.087807926319289</v>
      </c>
      <c r="K8" s="8">
        <f>'Mensual 2025'!L58</f>
        <v>25.775744325753358</v>
      </c>
      <c r="L8" s="8">
        <f>'Mensual 2025'!M58</f>
        <v>26.024027823327316</v>
      </c>
      <c r="M8" s="8">
        <f>'Mensual 2025'!N58</f>
        <v>17.077313234737414</v>
      </c>
      <c r="N8" s="8">
        <f t="shared" si="0"/>
        <v>264.31977803207184</v>
      </c>
      <c r="O8" s="9">
        <v>1654.73</v>
      </c>
    </row>
    <row r="9" spans="1:15" ht="15" customHeight="1" x14ac:dyDescent="0.25">
      <c r="A9" s="2" t="s">
        <v>22</v>
      </c>
      <c r="B9" s="8">
        <f>'Mensual 2025'!C57</f>
        <v>2.1349724064051605</v>
      </c>
      <c r="C9" s="8">
        <f>'Mensual 2025'!D57</f>
        <v>3.4433350641618601</v>
      </c>
      <c r="D9" s="8">
        <f>'Mensual 2025'!E57</f>
        <v>4.8936421723102201</v>
      </c>
      <c r="E9" s="8">
        <f>'Mensual 2025'!F57</f>
        <v>4.2517332976074602</v>
      </c>
      <c r="F9" s="8">
        <f>'Mensual 2025'!G57</f>
        <v>3.2532057036855595</v>
      </c>
      <c r="G9" s="8">
        <f>'Mensual 2025'!H57</f>
        <v>4.52318290990398</v>
      </c>
      <c r="H9" s="8">
        <f>'Mensual 2025'!I57</f>
        <v>4.7764732332103499</v>
      </c>
      <c r="I9" s="8">
        <f>'Mensual 2025'!J57</f>
        <v>3.7340935257761103</v>
      </c>
      <c r="J9" s="8">
        <f>'Mensual 2025'!K57</f>
        <v>4.1619699053373003</v>
      </c>
      <c r="K9" s="8">
        <f>'Mensual 2025'!L57</f>
        <v>5.8640977956287994</v>
      </c>
      <c r="L9" s="8">
        <f>'Mensual 2025'!M57</f>
        <v>4.1698193067585603</v>
      </c>
      <c r="M9" s="8">
        <f>'Mensual 2025'!N57</f>
        <v>2.29337562573357</v>
      </c>
      <c r="N9" s="8">
        <f t="shared" si="0"/>
        <v>47.499900946518935</v>
      </c>
      <c r="O9" s="9">
        <v>190.7</v>
      </c>
    </row>
    <row r="10" spans="1:15" ht="15" customHeight="1" x14ac:dyDescent="0.25">
      <c r="A10" s="2" t="s">
        <v>23</v>
      </c>
      <c r="B10" s="8">
        <f>'Mensual 2025'!C60</f>
        <v>1.7665721413200001E-3</v>
      </c>
      <c r="C10" s="8">
        <f>'Mensual 2025'!D60</f>
        <v>4.4061819374999998E-3</v>
      </c>
      <c r="D10" s="8">
        <f>'Mensual 2025'!E60</f>
        <v>6.3487831176000011E-3</v>
      </c>
      <c r="E10" s="8">
        <f>'Mensual 2025'!F60</f>
        <v>5.3468413017600004E-3</v>
      </c>
      <c r="F10" s="8">
        <f>'Mensual 2025'!G60</f>
        <v>3.4154144971800006E-3</v>
      </c>
      <c r="G10" s="8">
        <f>'Mensual 2025'!H60</f>
        <v>4.1861588983200006E-3</v>
      </c>
      <c r="H10" s="8">
        <f>'Mensual 2025'!I60</f>
        <v>4.7914166848800014E-3</v>
      </c>
      <c r="I10" s="8">
        <f>'Mensual 2025'!J60</f>
        <v>3.9091951306800005E-3</v>
      </c>
      <c r="J10" s="8">
        <f>'Mensual 2025'!K60</f>
        <v>3.9163733691600002E-3</v>
      </c>
      <c r="K10" s="8">
        <f>'Mensual 2025'!L60</f>
        <v>6.3180813612000002E-3</v>
      </c>
      <c r="L10" s="8">
        <f>'Mensual 2025'!M60</f>
        <v>4.3355412013199998E-3</v>
      </c>
      <c r="M10" s="8">
        <f>'Mensual 2025'!N60</f>
        <v>2.8290145493400009E-3</v>
      </c>
      <c r="N10" s="8">
        <f t="shared" si="0"/>
        <v>5.1569574190260002E-2</v>
      </c>
      <c r="O10" s="9">
        <v>3.54</v>
      </c>
    </row>
    <row r="11" spans="1:15" ht="15" customHeight="1" x14ac:dyDescent="0.25">
      <c r="A11" s="2" t="s">
        <v>24</v>
      </c>
      <c r="B11" s="8">
        <f>'Mensual 2025'!C61</f>
        <v>79568.940970221462</v>
      </c>
      <c r="C11" s="8">
        <f>'Mensual 2025'!D61</f>
        <v>102765.88679140464</v>
      </c>
      <c r="D11" s="8">
        <f>'Mensual 2025'!E61</f>
        <v>126709.7293087127</v>
      </c>
      <c r="E11" s="8">
        <f>'Mensual 2025'!F61</f>
        <v>117800.9181186051</v>
      </c>
      <c r="F11" s="8">
        <f>'Mensual 2025'!G61</f>
        <v>128779.00315880368</v>
      </c>
      <c r="G11" s="8">
        <f>'Mensual 2025'!H61</f>
        <v>179296.41899344645</v>
      </c>
      <c r="H11" s="8">
        <f>'Mensual 2025'!I61</f>
        <v>164966.97381646873</v>
      </c>
      <c r="I11" s="8">
        <f>'Mensual 2025'!J61</f>
        <v>143894.65656384989</v>
      </c>
      <c r="J11" s="8">
        <f>'Mensual 2025'!K61</f>
        <v>154423.58140799499</v>
      </c>
      <c r="K11" s="8">
        <f>'Mensual 2025'!L61</f>
        <v>177826.24044452194</v>
      </c>
      <c r="L11" s="8">
        <f>'Mensual 2025'!M61</f>
        <v>152237.25885938076</v>
      </c>
      <c r="M11" s="8">
        <f>'Mensual 2025'!N61</f>
        <v>90425.487869260338</v>
      </c>
      <c r="N11" s="8">
        <f t="shared" si="0"/>
        <v>1618695.0963026709</v>
      </c>
      <c r="O11" s="10" t="s">
        <v>25</v>
      </c>
    </row>
    <row r="12" spans="1:15" ht="19.5" customHeight="1" x14ac:dyDescent="0.3">
      <c r="A12" s="11" t="s">
        <v>26</v>
      </c>
      <c r="B12" s="12">
        <f t="shared" ref="B12:O12" si="1">SUM(B4:B10)</f>
        <v>148.4978838673496</v>
      </c>
      <c r="C12" s="12">
        <f t="shared" si="1"/>
        <v>293.88540116197316</v>
      </c>
      <c r="D12" s="12">
        <f t="shared" si="1"/>
        <v>346.00964502438183</v>
      </c>
      <c r="E12" s="12">
        <f t="shared" si="1"/>
        <v>312.54361125521098</v>
      </c>
      <c r="F12" s="12">
        <f t="shared" si="1"/>
        <v>329.45925464940416</v>
      </c>
      <c r="G12" s="12">
        <f t="shared" si="1"/>
        <v>398.63742281035456</v>
      </c>
      <c r="H12" s="12">
        <f t="shared" si="1"/>
        <v>356.06661203088231</v>
      </c>
      <c r="I12" s="12">
        <f t="shared" si="1"/>
        <v>354.47057400989291</v>
      </c>
      <c r="J12" s="12">
        <f t="shared" si="1"/>
        <v>325.23590333611031</v>
      </c>
      <c r="K12" s="12">
        <f t="shared" si="1"/>
        <v>380.7478366668293</v>
      </c>
      <c r="L12" s="12">
        <f t="shared" si="1"/>
        <v>349.54143395573095</v>
      </c>
      <c r="M12" s="12">
        <f t="shared" si="1"/>
        <v>251.25593397737003</v>
      </c>
      <c r="N12" s="12">
        <f t="shared" si="1"/>
        <v>3846.3515127454898</v>
      </c>
      <c r="O12" s="12">
        <f t="shared" si="1"/>
        <v>20584.66</v>
      </c>
    </row>
    <row r="13" spans="1:15" ht="18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8.75" customHeight="1" x14ac:dyDescent="0.3">
      <c r="A14" s="2"/>
      <c r="B14" s="7" t="s">
        <v>27</v>
      </c>
      <c r="C14" s="7" t="s">
        <v>27</v>
      </c>
      <c r="D14" s="7" t="s">
        <v>27</v>
      </c>
      <c r="E14" s="7" t="s">
        <v>27</v>
      </c>
      <c r="F14" s="7" t="s">
        <v>27</v>
      </c>
      <c r="G14" s="7" t="s">
        <v>27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 t="s">
        <v>27</v>
      </c>
      <c r="N14" s="7" t="s">
        <v>27</v>
      </c>
      <c r="O14" s="7" t="s">
        <v>27</v>
      </c>
    </row>
    <row r="15" spans="1:15" ht="18" customHeight="1" x14ac:dyDescent="0.25">
      <c r="A15" s="2" t="s">
        <v>18</v>
      </c>
      <c r="B15" s="8">
        <f>'Mensual 2025'!C81</f>
        <v>27.533155973099998</v>
      </c>
      <c r="C15" s="8">
        <f>'Mensual 2025'!D81</f>
        <v>26.025317119500002</v>
      </c>
      <c r="D15" s="8">
        <f>'Mensual 2025'!E81</f>
        <v>27.196349846327998</v>
      </c>
      <c r="E15" s="8">
        <f>'Mensual 2025'!F81</f>
        <v>25.517368897800001</v>
      </c>
      <c r="F15" s="8">
        <f>'Mensual 2025'!G81</f>
        <v>27.700808154000001</v>
      </c>
      <c r="G15" s="8">
        <f>'Mensual 2025'!H81</f>
        <v>18.972897130799996</v>
      </c>
      <c r="H15" s="8">
        <f>'Mensual 2025'!I81</f>
        <v>23.5851318948</v>
      </c>
      <c r="I15" s="8">
        <f>'Mensual 2025'!J81</f>
        <v>23.014881935100004</v>
      </c>
      <c r="J15" s="8">
        <f>'Mensual 2025'!K81</f>
        <v>20.14793968935</v>
      </c>
      <c r="K15" s="8">
        <f>'Mensual 2025'!L81</f>
        <v>40.618303324199992</v>
      </c>
      <c r="L15" s="8">
        <f>'Mensual 2025'!M81</f>
        <v>28.229137907550005</v>
      </c>
      <c r="M15" s="8">
        <f>'Mensual 2025'!N81</f>
        <v>40.502337742400002</v>
      </c>
      <c r="N15" s="8">
        <f t="shared" ref="N15:N21" si="2">SUM(B15:M15)</f>
        <v>329.04362961492802</v>
      </c>
      <c r="O15" s="9">
        <v>1387.38</v>
      </c>
    </row>
    <row r="16" spans="1:15" ht="18" customHeight="1" x14ac:dyDescent="0.25">
      <c r="A16" s="2" t="s">
        <v>19</v>
      </c>
      <c r="B16" s="8">
        <f>'Mensual 2025'!C82</f>
        <v>261.68120462868001</v>
      </c>
      <c r="C16" s="8">
        <f>'Mensual 2025'!D82</f>
        <v>248.52300352649999</v>
      </c>
      <c r="D16" s="8">
        <f>'Mensual 2025'!E82</f>
        <v>241.76870506731001</v>
      </c>
      <c r="E16" s="8">
        <f>'Mensual 2025'!F82</f>
        <v>211.44638873300997</v>
      </c>
      <c r="F16" s="8">
        <f>'Mensual 2025'!G82</f>
        <v>264.87306253948799</v>
      </c>
      <c r="G16" s="8">
        <f>'Mensual 2025'!H82</f>
        <v>176.28594050286299</v>
      </c>
      <c r="H16" s="8">
        <f>'Mensual 2025'!I82</f>
        <v>217.12128118972194</v>
      </c>
      <c r="I16" s="8">
        <f>'Mensual 2025'!J82</f>
        <v>205.34918558898605</v>
      </c>
      <c r="J16" s="8">
        <f>'Mensual 2025'!K82</f>
        <v>181.17659144997</v>
      </c>
      <c r="K16" s="8">
        <f>'Mensual 2025'!L82</f>
        <v>378.76296524238001</v>
      </c>
      <c r="L16" s="8">
        <f>'Mensual 2025'!M82</f>
        <v>256.07266154716501</v>
      </c>
      <c r="M16" s="8">
        <f>'Mensual 2025'!N82</f>
        <v>378.00278606972</v>
      </c>
      <c r="N16" s="8">
        <f t="shared" si="2"/>
        <v>3021.0637760857935</v>
      </c>
      <c r="O16" s="9">
        <v>17464.39</v>
      </c>
    </row>
    <row r="17" spans="1:15" ht="15" customHeight="1" x14ac:dyDescent="0.25">
      <c r="A17" s="2" t="s">
        <v>20</v>
      </c>
      <c r="B17" s="8">
        <f>'Mensual 2025'!C83</f>
        <v>219.90853575779997</v>
      </c>
      <c r="C17" s="8">
        <f>'Mensual 2025'!D83</f>
        <v>194.2597783731</v>
      </c>
      <c r="D17" s="8">
        <f>'Mensual 2025'!E83</f>
        <v>240.38385895122002</v>
      </c>
      <c r="E17" s="8">
        <f>'Mensual 2025'!F83</f>
        <v>242.68820776530004</v>
      </c>
      <c r="F17" s="8">
        <f>'Mensual 2025'!G83</f>
        <v>200.14770527370001</v>
      </c>
      <c r="G17" s="8">
        <f>'Mensual 2025'!H83</f>
        <v>146.9738282973</v>
      </c>
      <c r="H17" s="8">
        <f>'Mensual 2025'!I83</f>
        <v>194.22214935480002</v>
      </c>
      <c r="I17" s="8">
        <f>'Mensual 2025'!J83</f>
        <v>182.85726693810003</v>
      </c>
      <c r="J17" s="8">
        <f>'Mensual 2025'!K83</f>
        <v>154.88510427840001</v>
      </c>
      <c r="K17" s="8">
        <f>'Mensual 2025'!L83</f>
        <v>303.20473540559999</v>
      </c>
      <c r="L17" s="8">
        <f>'Mensual 2025'!M83</f>
        <v>218.09775132299998</v>
      </c>
      <c r="M17" s="8">
        <f>'Mensual 2025'!N83</f>
        <v>291.625846524</v>
      </c>
      <c r="N17" s="8">
        <f t="shared" si="2"/>
        <v>2589.2547682423201</v>
      </c>
      <c r="O17" s="9">
        <v>12276.89</v>
      </c>
    </row>
    <row r="18" spans="1:15" ht="15" customHeight="1" x14ac:dyDescent="0.25">
      <c r="A18" s="2" t="s">
        <v>22</v>
      </c>
      <c r="B18" s="8">
        <f>'Mensual 2025'!C84</f>
        <v>2.8739613400200001</v>
      </c>
      <c r="C18" s="8">
        <f>'Mensual 2025'!D84</f>
        <v>2.7551709583500004</v>
      </c>
      <c r="D18" s="8">
        <f>'Mensual 2025'!E84</f>
        <v>3.2726050667382904</v>
      </c>
      <c r="E18" s="8">
        <f>'Mensual 2025'!F84</f>
        <v>3.4481234252100004</v>
      </c>
      <c r="F18" s="8">
        <f>'Mensual 2025'!G84</f>
        <v>2.9563008468600005</v>
      </c>
      <c r="G18" s="8">
        <f>'Mensual 2025'!H84</f>
        <v>2.1352431782100001</v>
      </c>
      <c r="H18" s="8">
        <f>'Mensual 2025'!I84</f>
        <v>2.6281362563400004</v>
      </c>
      <c r="I18" s="8">
        <f>'Mensual 2025'!J84</f>
        <v>2.7084017131200002</v>
      </c>
      <c r="J18" s="8">
        <f>'Mensual 2025'!K84</f>
        <v>2.2891535159400003</v>
      </c>
      <c r="K18" s="8">
        <f>'Mensual 2025'!L84</f>
        <v>4.500593469</v>
      </c>
      <c r="L18" s="8">
        <f>'Mensual 2025'!M84</f>
        <v>3.2404627819500007</v>
      </c>
      <c r="M18" s="8">
        <f>'Mensual 2025'!N84</f>
        <v>4.4148333505200004</v>
      </c>
      <c r="N18" s="8">
        <f t="shared" si="2"/>
        <v>37.222985902258294</v>
      </c>
      <c r="O18" s="9">
        <v>130.04</v>
      </c>
    </row>
    <row r="19" spans="1:15" ht="15" customHeight="1" x14ac:dyDescent="0.25">
      <c r="A19" s="2" t="s">
        <v>21</v>
      </c>
      <c r="B19" s="8">
        <f>'Mensual 2025'!C85</f>
        <v>18.465923891999999</v>
      </c>
      <c r="C19" s="8">
        <f>'Mensual 2025'!D85</f>
        <v>17.639646646800003</v>
      </c>
      <c r="D19" s="8">
        <f>'Mensual 2025'!E85</f>
        <v>19.9958784140277</v>
      </c>
      <c r="E19" s="8">
        <f>'Mensual 2025'!F85</f>
        <v>20.414510179200001</v>
      </c>
      <c r="F19" s="8">
        <f>'Mensual 2025'!G85</f>
        <v>18.8865625569</v>
      </c>
      <c r="G19" s="8">
        <f>'Mensual 2025'!H85</f>
        <v>13.393847905200001</v>
      </c>
      <c r="H19" s="8">
        <f>'Mensual 2025'!I85</f>
        <v>16.583399964599998</v>
      </c>
      <c r="I19" s="8">
        <f>'Mensual 2025'!J85</f>
        <v>17.068373331900002</v>
      </c>
      <c r="J19" s="8">
        <f>'Mensual 2025'!K85</f>
        <v>14.758533335400001</v>
      </c>
      <c r="K19" s="8">
        <f>'Mensual 2025'!L85</f>
        <v>28.610912578800001</v>
      </c>
      <c r="L19" s="8">
        <f>'Mensual 2025'!M85</f>
        <v>20.545951432500001</v>
      </c>
      <c r="M19" s="8">
        <f>'Mensual 2025'!N85</f>
        <v>28.535966439599999</v>
      </c>
      <c r="N19" s="8">
        <f t="shared" si="2"/>
        <v>234.8995066769277</v>
      </c>
      <c r="O19" s="9">
        <v>856.94</v>
      </c>
    </row>
    <row r="20" spans="1:15" ht="15" customHeight="1" x14ac:dyDescent="0.25">
      <c r="A20" s="2" t="s">
        <v>23</v>
      </c>
      <c r="B20" s="8">
        <f>'Mensual 2025'!C86</f>
        <v>6.3819497700000009E-3</v>
      </c>
      <c r="C20" s="8">
        <f>'Mensual 2025'!D86</f>
        <v>5.8806355439999999E-3</v>
      </c>
      <c r="D20" s="8">
        <f>'Mensual 2025'!E86</f>
        <v>7.4784822849660003E-3</v>
      </c>
      <c r="E20" s="8">
        <f>'Mensual 2025'!F86</f>
        <v>7.9470540660000009E-3</v>
      </c>
      <c r="F20" s="8">
        <f>'Mensual 2025'!G86</f>
        <v>6.1942694519999996E-3</v>
      </c>
      <c r="G20" s="8">
        <f>'Mensual 2025'!H86</f>
        <v>4.6002584460000003E-3</v>
      </c>
      <c r="H20" s="8">
        <f>'Mensual 2025'!I86</f>
        <v>5.8364245380000002E-3</v>
      </c>
      <c r="I20" s="8">
        <f>'Mensual 2025'!J86</f>
        <v>5.7507202620000007E-3</v>
      </c>
      <c r="J20" s="8">
        <f>'Mensual 2025'!K86</f>
        <v>4.7469683520000002E-3</v>
      </c>
      <c r="K20" s="8">
        <f>'Mensual 2025'!L86</f>
        <v>9.4571031240000009E-3</v>
      </c>
      <c r="L20" s="8">
        <f>'Mensual 2025'!M86</f>
        <v>6.8252131500000004E-3</v>
      </c>
      <c r="M20" s="8">
        <f>'Mensual 2025'!N86</f>
        <v>9.0176532180000005E-3</v>
      </c>
      <c r="N20" s="8">
        <f t="shared" si="2"/>
        <v>8.0116732206965996E-2</v>
      </c>
      <c r="O20" s="9">
        <v>0.37</v>
      </c>
    </row>
    <row r="21" spans="1:15" ht="18" customHeight="1" x14ac:dyDescent="0.25">
      <c r="A21" s="2" t="s">
        <v>24</v>
      </c>
      <c r="B21" s="8">
        <f>'Mensual 2025'!C87</f>
        <v>98318.667154977273</v>
      </c>
      <c r="C21" s="8">
        <f>'Mensual 2025'!D87</f>
        <v>91272.323533713206</v>
      </c>
      <c r="D21" s="8">
        <f>'Mensual 2025'!E87</f>
        <v>108886.43191267262</v>
      </c>
      <c r="E21" s="8">
        <f>'Mensual 2025'!F87</f>
        <v>112038.68887471894</v>
      </c>
      <c r="F21" s="8">
        <f>'Mensual 2025'!G87</f>
        <v>96429.833239165499</v>
      </c>
      <c r="G21" s="8">
        <f>'Mensual 2025'!H87</f>
        <v>69756.56586845807</v>
      </c>
      <c r="H21" s="8">
        <f>'Mensual 2025'!I87</f>
        <v>88318.162012044588</v>
      </c>
      <c r="I21" s="8">
        <f>'Mensual 2025'!J87</f>
        <v>87956.554061833202</v>
      </c>
      <c r="J21" s="8">
        <f>'Mensual 2025'!K87</f>
        <v>74822.448318001727</v>
      </c>
      <c r="K21" s="8">
        <f>'Mensual 2025'!L87</f>
        <v>146360.19744514578</v>
      </c>
      <c r="L21" s="8">
        <f>'Mensual 2025'!M87</f>
        <v>105274.45831931903</v>
      </c>
      <c r="M21" s="8">
        <f>'Mensual 2025'!N87</f>
        <v>143152.77990816368</v>
      </c>
      <c r="N21" s="8">
        <f t="shared" si="2"/>
        <v>1222587.1106482134</v>
      </c>
      <c r="O21" s="9">
        <v>5418568.5999999996</v>
      </c>
    </row>
    <row r="22" spans="1:15" ht="19.5" customHeight="1" x14ac:dyDescent="0.3">
      <c r="A22" s="11" t="s">
        <v>28</v>
      </c>
      <c r="B22" s="13">
        <f t="shared" ref="B22:O22" si="3">SUM(B15:B20)</f>
        <v>530.46916354136999</v>
      </c>
      <c r="C22" s="13">
        <f t="shared" si="3"/>
        <v>489.20879725979393</v>
      </c>
      <c r="D22" s="13">
        <f t="shared" si="3"/>
        <v>532.62487582790902</v>
      </c>
      <c r="E22" s="13">
        <f t="shared" si="3"/>
        <v>503.52254605458597</v>
      </c>
      <c r="F22" s="13">
        <f t="shared" si="3"/>
        <v>514.57063364039993</v>
      </c>
      <c r="G22" s="13">
        <f t="shared" si="3"/>
        <v>357.76635727281894</v>
      </c>
      <c r="H22" s="13">
        <f t="shared" si="3"/>
        <v>454.14593508479999</v>
      </c>
      <c r="I22" s="13">
        <f t="shared" si="3"/>
        <v>431.00386022746801</v>
      </c>
      <c r="J22" s="13">
        <f t="shared" si="3"/>
        <v>373.26206923741199</v>
      </c>
      <c r="K22" s="13">
        <f t="shared" si="3"/>
        <v>755.70696712310394</v>
      </c>
      <c r="L22" s="13">
        <f t="shared" si="3"/>
        <v>526.19279020531508</v>
      </c>
      <c r="M22" s="13">
        <f t="shared" si="3"/>
        <v>743.09078777945808</v>
      </c>
      <c r="N22" s="13">
        <f t="shared" si="3"/>
        <v>6211.5647832544346</v>
      </c>
      <c r="O22" s="13">
        <f t="shared" si="3"/>
        <v>32116.01</v>
      </c>
    </row>
    <row r="23" spans="1:15" ht="15" customHeight="1" x14ac:dyDescent="0.25">
      <c r="A23" s="2" t="s">
        <v>29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f t="shared" ref="N23:N28" si="4">SUM(B23:M23)</f>
        <v>0</v>
      </c>
      <c r="O23" s="10" t="s">
        <v>25</v>
      </c>
    </row>
    <row r="24" spans="1:15" ht="15" customHeight="1" x14ac:dyDescent="0.25">
      <c r="A24" s="2" t="s">
        <v>30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f t="shared" si="4"/>
        <v>0</v>
      </c>
      <c r="O24" s="10" t="s">
        <v>25</v>
      </c>
    </row>
    <row r="25" spans="1:15" ht="15" customHeight="1" x14ac:dyDescent="0.25">
      <c r="A25" s="2" t="s">
        <v>31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f t="shared" si="4"/>
        <v>0</v>
      </c>
      <c r="O25" s="10" t="s">
        <v>25</v>
      </c>
    </row>
    <row r="26" spans="1:15" ht="15" customHeight="1" x14ac:dyDescent="0.25">
      <c r="A26" s="2" t="s">
        <v>32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f t="shared" si="4"/>
        <v>0</v>
      </c>
      <c r="O26" s="10" t="s">
        <v>25</v>
      </c>
    </row>
    <row r="27" spans="1:15" ht="15" customHeight="1" x14ac:dyDescent="0.25">
      <c r="A27" s="2" t="s">
        <v>33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f t="shared" si="4"/>
        <v>0</v>
      </c>
      <c r="O27" s="14" t="s">
        <v>25</v>
      </c>
    </row>
    <row r="28" spans="1:15" ht="15" customHeight="1" x14ac:dyDescent="0.25">
      <c r="A28" s="2" t="s">
        <v>34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f t="shared" si="4"/>
        <v>0</v>
      </c>
      <c r="O28" s="10" t="s">
        <v>25</v>
      </c>
    </row>
    <row r="29" spans="1:15" ht="15" customHeight="1" x14ac:dyDescent="0.25">
      <c r="A29" s="11" t="s">
        <v>35</v>
      </c>
      <c r="B29" s="15">
        <f t="shared" ref="B29:O29" si="5">B28</f>
        <v>0</v>
      </c>
      <c r="C29" s="15">
        <f t="shared" si="5"/>
        <v>0</v>
      </c>
      <c r="D29" s="15">
        <f t="shared" si="5"/>
        <v>0</v>
      </c>
      <c r="E29" s="15">
        <f t="shared" si="5"/>
        <v>0</v>
      </c>
      <c r="F29" s="15">
        <f t="shared" si="5"/>
        <v>0</v>
      </c>
      <c r="G29" s="15">
        <f t="shared" si="5"/>
        <v>0</v>
      </c>
      <c r="H29" s="15">
        <f t="shared" si="5"/>
        <v>0</v>
      </c>
      <c r="I29" s="15">
        <f t="shared" si="5"/>
        <v>0</v>
      </c>
      <c r="J29" s="15">
        <f t="shared" si="5"/>
        <v>0</v>
      </c>
      <c r="K29" s="15">
        <f t="shared" si="5"/>
        <v>0</v>
      </c>
      <c r="L29" s="15">
        <f t="shared" si="5"/>
        <v>0</v>
      </c>
      <c r="M29" s="15">
        <f t="shared" si="5"/>
        <v>0</v>
      </c>
      <c r="N29" s="15">
        <f t="shared" si="5"/>
        <v>0</v>
      </c>
      <c r="O29" s="16" t="str">
        <f t="shared" si="5"/>
        <v>N/A</v>
      </c>
    </row>
    <row r="30" spans="1:15" ht="19.5" customHeight="1" x14ac:dyDescent="0.3">
      <c r="A30" s="11" t="s">
        <v>26</v>
      </c>
      <c r="B30" s="12">
        <f t="shared" ref="B30:O30" si="6">SUM(B22,B29)</f>
        <v>530.46916354136999</v>
      </c>
      <c r="C30" s="12">
        <f t="shared" si="6"/>
        <v>489.20879725979393</v>
      </c>
      <c r="D30" s="12">
        <f t="shared" si="6"/>
        <v>532.62487582790902</v>
      </c>
      <c r="E30" s="12">
        <f t="shared" si="6"/>
        <v>503.52254605458597</v>
      </c>
      <c r="F30" s="12">
        <f t="shared" si="6"/>
        <v>514.57063364039993</v>
      </c>
      <c r="G30" s="12">
        <f t="shared" si="6"/>
        <v>357.76635727281894</v>
      </c>
      <c r="H30" s="12">
        <f t="shared" si="6"/>
        <v>454.14593508479999</v>
      </c>
      <c r="I30" s="12">
        <f t="shared" si="6"/>
        <v>431.00386022746801</v>
      </c>
      <c r="J30" s="12">
        <f t="shared" si="6"/>
        <v>373.26206923741199</v>
      </c>
      <c r="K30" s="12">
        <f t="shared" si="6"/>
        <v>755.70696712310394</v>
      </c>
      <c r="L30" s="12">
        <f t="shared" si="6"/>
        <v>526.19279020531508</v>
      </c>
      <c r="M30" s="12">
        <f t="shared" si="6"/>
        <v>743.09078777945808</v>
      </c>
      <c r="N30" s="12">
        <f t="shared" si="6"/>
        <v>6211.5647832544346</v>
      </c>
      <c r="O30" s="12">
        <f t="shared" si="6"/>
        <v>32116.01</v>
      </c>
    </row>
    <row r="31" spans="1:1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8.75" customHeight="1" x14ac:dyDescent="0.3">
      <c r="A32" s="2"/>
      <c r="B32" s="7" t="s">
        <v>36</v>
      </c>
      <c r="C32" s="7" t="s">
        <v>36</v>
      </c>
      <c r="D32" s="7" t="s">
        <v>36</v>
      </c>
      <c r="E32" s="7" t="s">
        <v>36</v>
      </c>
      <c r="F32" s="7" t="s">
        <v>36</v>
      </c>
      <c r="G32" s="7" t="s">
        <v>36</v>
      </c>
      <c r="H32" s="7" t="s">
        <v>36</v>
      </c>
      <c r="I32" s="7" t="s">
        <v>36</v>
      </c>
      <c r="J32" s="7" t="s">
        <v>36</v>
      </c>
      <c r="K32" s="7" t="s">
        <v>36</v>
      </c>
      <c r="L32" s="7" t="s">
        <v>36</v>
      </c>
      <c r="M32" s="7" t="s">
        <v>36</v>
      </c>
      <c r="N32" s="7" t="s">
        <v>36</v>
      </c>
      <c r="O32" s="7" t="s">
        <v>36</v>
      </c>
    </row>
    <row r="33" spans="1:15" ht="15" customHeight="1" x14ac:dyDescent="0.25">
      <c r="A33" s="2" t="s">
        <v>37</v>
      </c>
      <c r="B33" s="8">
        <f>'Mensual 2025'!C67</f>
        <v>23.251875348858</v>
      </c>
      <c r="C33" s="8">
        <f>'Mensual 2025'!D67</f>
        <v>24.712475582141998</v>
      </c>
      <c r="D33" s="8">
        <f>'Mensual 2025'!E67</f>
        <v>2.6647714440000003</v>
      </c>
      <c r="E33" s="8">
        <f>'Mensual 2025'!F67</f>
        <v>4.3946729280000012</v>
      </c>
      <c r="F33" s="8">
        <f>'Mensual 2025'!G67</f>
        <v>4.3324272000000006</v>
      </c>
      <c r="G33" s="8">
        <f>'Mensual 2025'!H67</f>
        <v>19.773892644660002</v>
      </c>
      <c r="H33" s="8">
        <f>'Mensual 2025'!I67</f>
        <v>47.682175061208</v>
      </c>
      <c r="I33" s="8">
        <f>'Mensual 2025'!J67</f>
        <v>47.219722441112992</v>
      </c>
      <c r="J33" s="8">
        <f>'Mensual 2025'!K67</f>
        <v>53.903178937811994</v>
      </c>
      <c r="K33" s="8">
        <f>'Mensual 2025'!L67</f>
        <v>49.546641158688004</v>
      </c>
      <c r="L33" s="8">
        <f>'Mensual 2025'!M67</f>
        <v>49.738719663323998</v>
      </c>
      <c r="M33" s="8">
        <f>'Mensual 2025'!N67</f>
        <v>30.190407798644998</v>
      </c>
      <c r="N33" s="8">
        <f t="shared" ref="N33:N39" si="7">SUM(B33:M33)</f>
        <v>357.41096020844998</v>
      </c>
      <c r="O33" s="9">
        <v>2194.88</v>
      </c>
    </row>
    <row r="34" spans="1:15" ht="18" customHeight="1" x14ac:dyDescent="0.25">
      <c r="A34" s="2" t="s">
        <v>19</v>
      </c>
      <c r="B34" s="8">
        <f>'Mensual 2025'!C68</f>
        <v>207.71136413016001</v>
      </c>
      <c r="C34" s="8">
        <f>'Mensual 2025'!D68</f>
        <v>228.08019568127995</v>
      </c>
      <c r="D34" s="8">
        <f>'Mensual 2025'!E68</f>
        <v>0.22428492987000001</v>
      </c>
      <c r="E34" s="8">
        <f>'Mensual 2025'!F68</f>
        <v>0.3698849714400001</v>
      </c>
      <c r="F34" s="8">
        <f>'Mensual 2025'!G68</f>
        <v>0.36464595600000005</v>
      </c>
      <c r="G34" s="8">
        <f>'Mensual 2025'!H68</f>
        <v>130.61014961127003</v>
      </c>
      <c r="H34" s="8">
        <f>'Mensual 2025'!I68</f>
        <v>411.37772209907996</v>
      </c>
      <c r="I34" s="8">
        <f>'Mensual 2025'!J68</f>
        <v>416.83572832983003</v>
      </c>
      <c r="J34" s="8">
        <f>'Mensual 2025'!K68</f>
        <v>503.35588722332994</v>
      </c>
      <c r="K34" s="8">
        <f>'Mensual 2025'!L68</f>
        <v>430.24762076061</v>
      </c>
      <c r="L34" s="8">
        <f>'Mensual 2025'!M68</f>
        <v>434.28055126227002</v>
      </c>
      <c r="M34" s="8">
        <f>'Mensual 2025'!N68</f>
        <v>257.50539616005005</v>
      </c>
      <c r="N34" s="8">
        <f t="shared" si="7"/>
        <v>3020.9634311151899</v>
      </c>
      <c r="O34" s="9">
        <v>30608.58</v>
      </c>
    </row>
    <row r="35" spans="1:15" ht="15" customHeight="1" x14ac:dyDescent="0.25">
      <c r="A35" s="2" t="s">
        <v>20</v>
      </c>
      <c r="B35" s="8">
        <f>'Mensual 2025'!C69</f>
        <v>310.97969529</v>
      </c>
      <c r="C35" s="8">
        <f>'Mensual 2025'!D69</f>
        <v>280.90747442999998</v>
      </c>
      <c r="D35" s="8">
        <f>'Mensual 2025'!E69</f>
        <v>195.41657256000002</v>
      </c>
      <c r="E35" s="8">
        <f>'Mensual 2025'!F69</f>
        <v>322.27601472000003</v>
      </c>
      <c r="F35" s="8">
        <f>'Mensual 2025'!G69</f>
        <v>317.71132800000004</v>
      </c>
      <c r="G35" s="8">
        <f>'Mensual 2025'!H69</f>
        <v>576.36940746000005</v>
      </c>
      <c r="H35" s="8">
        <f>'Mensual 2025'!I69</f>
        <v>736.45753500000001</v>
      </c>
      <c r="I35" s="8">
        <f>'Mensual 2025'!J69</f>
        <v>665.29804522500012</v>
      </c>
      <c r="J35" s="8">
        <f>'Mensual 2025'!K69</f>
        <v>572.98325898000007</v>
      </c>
      <c r="K35" s="8">
        <f>'Mensual 2025'!L69</f>
        <v>724.45536635999997</v>
      </c>
      <c r="L35" s="8">
        <f>'Mensual 2025'!M69</f>
        <v>688.03137282</v>
      </c>
      <c r="M35" s="8">
        <f>'Mensual 2025'!N69</f>
        <v>430.35238570500007</v>
      </c>
      <c r="N35" s="8">
        <f t="shared" si="7"/>
        <v>5821.2384565500006</v>
      </c>
      <c r="O35" s="9">
        <v>28867.78</v>
      </c>
    </row>
    <row r="36" spans="1:15" ht="15" customHeight="1" x14ac:dyDescent="0.25">
      <c r="A36" s="2" t="s">
        <v>22</v>
      </c>
      <c r="B36" s="8">
        <f>'Mensual 2025'!C70</f>
        <v>2.1326719239600003</v>
      </c>
      <c r="C36" s="8">
        <f>'Mensual 2025'!D70</f>
        <v>2.3142557410799998</v>
      </c>
      <c r="D36" s="8">
        <f>'Mensual 2025'!E70</f>
        <v>9.1046357670000008E-2</v>
      </c>
      <c r="E36" s="8">
        <f>'Mensual 2025'!F70</f>
        <v>0.15015132503999998</v>
      </c>
      <c r="F36" s="8">
        <f>'Mensual 2025'!G70</f>
        <v>0.14802459600000004</v>
      </c>
      <c r="G36" s="8">
        <f>'Mensual 2025'!H70</f>
        <v>1.5142759730700002</v>
      </c>
      <c r="H36" s="8">
        <f>'Mensual 2025'!I70</f>
        <v>4.2786527326799995</v>
      </c>
      <c r="I36" s="8">
        <f>'Mensual 2025'!J70</f>
        <v>4.2986044749300003</v>
      </c>
      <c r="J36" s="8">
        <f>'Mensual 2025'!K70</f>
        <v>5.0860271511300006</v>
      </c>
      <c r="K36" s="8">
        <f>'Mensual 2025'!L70</f>
        <v>4.5399136640099993</v>
      </c>
      <c r="L36" s="8">
        <f>'Mensual 2025'!M70</f>
        <v>4.653150257670001</v>
      </c>
      <c r="M36" s="8">
        <f>'Mensual 2025'!N70</f>
        <v>2.8835032099500002</v>
      </c>
      <c r="N36" s="8">
        <f t="shared" si="7"/>
        <v>32.090277407190001</v>
      </c>
      <c r="O36" s="9">
        <v>195.32</v>
      </c>
    </row>
    <row r="37" spans="1:15" ht="15" customHeight="1" x14ac:dyDescent="0.25">
      <c r="A37" s="2" t="s">
        <v>21</v>
      </c>
      <c r="B37" s="8">
        <f>'Mensual 2025'!C71</f>
        <v>14.152262830800002</v>
      </c>
      <c r="C37" s="8">
        <f>'Mensual 2025'!D71</f>
        <v>15.317302424399996</v>
      </c>
      <c r="D37" s="8">
        <f>'Mensual 2025'!E71</f>
        <v>0.73281214710000009</v>
      </c>
      <c r="E37" s="8">
        <f>'Mensual 2025'!F71</f>
        <v>1.2085350552000003</v>
      </c>
      <c r="F37" s="8">
        <f>'Mensual 2025'!G71</f>
        <v>1.1914174800000001</v>
      </c>
      <c r="G37" s="8">
        <f>'Mensual 2025'!H71</f>
        <v>10.2997424691</v>
      </c>
      <c r="H37" s="8">
        <f>'Mensual 2025'!I71</f>
        <v>28.472335064399999</v>
      </c>
      <c r="I37" s="8">
        <f>'Mensual 2025'!J71</f>
        <v>28.552423116900002</v>
      </c>
      <c r="J37" s="8">
        <f>'Mensual 2025'!K71</f>
        <v>33.631418820900002</v>
      </c>
      <c r="K37" s="8">
        <f>'Mensual 2025'!L71</f>
        <v>30.170662959300003</v>
      </c>
      <c r="L37" s="8">
        <f>'Mensual 2025'!M71</f>
        <v>30.884707763100003</v>
      </c>
      <c r="M37" s="8">
        <f>'Mensual 2025'!N71</f>
        <v>19.141710961500003</v>
      </c>
      <c r="N37" s="8">
        <f t="shared" si="7"/>
        <v>213.7553310927</v>
      </c>
      <c r="O37" s="9">
        <v>1299.54</v>
      </c>
    </row>
    <row r="38" spans="1:15" ht="15" customHeight="1" x14ac:dyDescent="0.25">
      <c r="A38" s="2" t="s">
        <v>23</v>
      </c>
      <c r="B38" s="8">
        <f>'Mensual 2025'!C72</f>
        <v>6.8962448058000007E-3</v>
      </c>
      <c r="C38" s="8">
        <f>'Mensual 2025'!D72</f>
        <v>6.6095859101999999E-3</v>
      </c>
      <c r="D38" s="8">
        <f>'Mensual 2025'!E72</f>
        <v>3.1089000180000003E-3</v>
      </c>
      <c r="E38" s="8">
        <f>'Mensual 2025'!F72</f>
        <v>5.127118416E-3</v>
      </c>
      <c r="F38" s="8">
        <f>'Mensual 2025'!G72</f>
        <v>5.0544984000000012E-3</v>
      </c>
      <c r="G38" s="8">
        <f>'Mensual 2025'!H72</f>
        <v>1.0390847964000001E-2</v>
      </c>
      <c r="H38" s="8">
        <f>'Mensual 2025'!I72</f>
        <v>1.5574798528800001E-2</v>
      </c>
      <c r="I38" s="8">
        <f>'Mensual 2025'!J72</f>
        <v>1.44947809293E-2</v>
      </c>
      <c r="J38" s="8">
        <f>'Mensual 2025'!K72</f>
        <v>1.3840300387200001E-2</v>
      </c>
      <c r="K38" s="8">
        <f>'Mensual 2025'!L72</f>
        <v>1.56454798164E-2</v>
      </c>
      <c r="L38" s="8">
        <f>'Mensual 2025'!M72</f>
        <v>1.5193663144800003E-2</v>
      </c>
      <c r="M38" s="8">
        <f>'Mensual 2025'!N72</f>
        <v>9.4769501589000004E-3</v>
      </c>
      <c r="N38" s="8">
        <f t="shared" si="7"/>
        <v>0.12141316847939999</v>
      </c>
      <c r="O38" s="9">
        <v>0.63</v>
      </c>
    </row>
    <row r="39" spans="1:15" ht="18" customHeight="1" x14ac:dyDescent="0.25">
      <c r="A39" s="2" t="s">
        <v>24</v>
      </c>
      <c r="B39" s="8">
        <f>'Mensual 2025'!C73</f>
        <v>100526.10135243372</v>
      </c>
      <c r="C39" s="8">
        <f>'Mensual 2025'!D73</f>
        <v>99136.943717000162</v>
      </c>
      <c r="D39" s="8">
        <f>'Mensual 2025'!E73</f>
        <v>36333.793849494468</v>
      </c>
      <c r="E39" s="8">
        <f>'Mensual 2025'!F73</f>
        <v>59920.763771853985</v>
      </c>
      <c r="F39" s="8">
        <f>'Mensual 2025'!G73</f>
        <v>59072.05179159918</v>
      </c>
      <c r="G39" s="8">
        <f>'Mensual 2025'!H73</f>
        <v>133927.89268561476</v>
      </c>
      <c r="H39" s="8">
        <f>'Mensual 2025'!I73</f>
        <v>221480.6832641591</v>
      </c>
      <c r="I39" s="8">
        <f>'Mensual 2025'!J73</f>
        <v>209390.92653955275</v>
      </c>
      <c r="J39" s="8">
        <f>'Mensual 2025'!K73</f>
        <v>210067.91397318651</v>
      </c>
      <c r="K39" s="8">
        <f>'Mensual 2025'!L73</f>
        <v>224982.20306848758</v>
      </c>
      <c r="L39" s="8">
        <f>'Mensual 2025'!M73</f>
        <v>221007.26367516565</v>
      </c>
      <c r="M39" s="8">
        <f>'Mensual 2025'!N73</f>
        <v>137657.08857468463</v>
      </c>
      <c r="N39" s="8">
        <f t="shared" si="7"/>
        <v>1713503.6262632324</v>
      </c>
      <c r="O39" s="2">
        <v>10093497.140000001</v>
      </c>
    </row>
    <row r="40" spans="1:15" ht="15.75" customHeight="1" x14ac:dyDescent="0.25">
      <c r="A40" s="11" t="s">
        <v>28</v>
      </c>
      <c r="B40" s="17">
        <f t="shared" ref="B40:O40" si="8">SUM(B33:B38)</f>
        <v>558.23476576858377</v>
      </c>
      <c r="C40" s="17">
        <f t="shared" si="8"/>
        <v>551.33831344481212</v>
      </c>
      <c r="D40" s="17">
        <f t="shared" si="8"/>
        <v>199.132596338658</v>
      </c>
      <c r="E40" s="17">
        <f t="shared" si="8"/>
        <v>328.404386118096</v>
      </c>
      <c r="F40" s="17">
        <f t="shared" si="8"/>
        <v>323.75289773040004</v>
      </c>
      <c r="G40" s="17">
        <f t="shared" si="8"/>
        <v>738.57785900606405</v>
      </c>
      <c r="H40" s="17">
        <f t="shared" si="8"/>
        <v>1228.2839947558971</v>
      </c>
      <c r="I40" s="17">
        <f t="shared" si="8"/>
        <v>1162.2190183687023</v>
      </c>
      <c r="J40" s="17">
        <f t="shared" si="8"/>
        <v>1168.9736114135594</v>
      </c>
      <c r="K40" s="17">
        <f t="shared" si="8"/>
        <v>1238.9758503824246</v>
      </c>
      <c r="L40" s="17">
        <f t="shared" si="8"/>
        <v>1207.6036954295089</v>
      </c>
      <c r="M40" s="17">
        <f t="shared" si="8"/>
        <v>740.08288078530416</v>
      </c>
      <c r="N40" s="17">
        <f t="shared" si="8"/>
        <v>9445.579869542009</v>
      </c>
      <c r="O40" s="17">
        <f t="shared" si="8"/>
        <v>63166.729999999996</v>
      </c>
    </row>
    <row r="41" spans="1:15" ht="15" customHeight="1" x14ac:dyDescent="0.25">
      <c r="A41" s="2" t="s">
        <v>29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f>SUM(B41:M41)</f>
        <v>0</v>
      </c>
      <c r="O41" s="2">
        <v>20.71</v>
      </c>
    </row>
    <row r="42" spans="1:15" ht="15" customHeight="1" x14ac:dyDescent="0.25">
      <c r="A42" s="2" t="s">
        <v>30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f>SUM(B42:M42)</f>
        <v>0</v>
      </c>
      <c r="O42" s="2">
        <v>19.62</v>
      </c>
    </row>
    <row r="43" spans="1:15" ht="15" customHeight="1" x14ac:dyDescent="0.25">
      <c r="A43" s="2" t="s">
        <v>31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f>SUM(B43:M43)</f>
        <v>0</v>
      </c>
      <c r="O43" s="2">
        <v>14.75</v>
      </c>
    </row>
    <row r="44" spans="1:15" ht="15" customHeight="1" x14ac:dyDescent="0.25">
      <c r="A44" s="2" t="s">
        <v>38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f>SUM(B44:M44)</f>
        <v>0</v>
      </c>
      <c r="O44" s="2">
        <v>84.71</v>
      </c>
    </row>
    <row r="45" spans="1:15" ht="15" customHeight="1" x14ac:dyDescent="0.25">
      <c r="A45" s="2" t="s">
        <v>34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f>SUM(B45:M45)</f>
        <v>0</v>
      </c>
      <c r="O45" s="2">
        <v>177.73</v>
      </c>
    </row>
    <row r="46" spans="1:15" ht="15" customHeight="1" x14ac:dyDescent="0.25">
      <c r="A46" s="11" t="s">
        <v>35</v>
      </c>
      <c r="B46" s="15">
        <f t="shared" ref="B46:O46" si="9">B45</f>
        <v>0</v>
      </c>
      <c r="C46" s="15">
        <f t="shared" si="9"/>
        <v>0</v>
      </c>
      <c r="D46" s="15">
        <f t="shared" si="9"/>
        <v>0</v>
      </c>
      <c r="E46" s="15">
        <f t="shared" si="9"/>
        <v>0</v>
      </c>
      <c r="F46" s="15">
        <f t="shared" si="9"/>
        <v>0</v>
      </c>
      <c r="G46" s="15">
        <f t="shared" si="9"/>
        <v>0</v>
      </c>
      <c r="H46" s="15">
        <f t="shared" si="9"/>
        <v>0</v>
      </c>
      <c r="I46" s="15">
        <f t="shared" si="9"/>
        <v>0</v>
      </c>
      <c r="J46" s="15">
        <f t="shared" si="9"/>
        <v>0</v>
      </c>
      <c r="K46" s="15">
        <f t="shared" si="9"/>
        <v>0</v>
      </c>
      <c r="L46" s="15">
        <f t="shared" si="9"/>
        <v>0</v>
      </c>
      <c r="M46" s="15">
        <f t="shared" si="9"/>
        <v>0</v>
      </c>
      <c r="N46" s="15">
        <f t="shared" si="9"/>
        <v>0</v>
      </c>
      <c r="O46" s="16">
        <f t="shared" si="9"/>
        <v>177.73</v>
      </c>
    </row>
    <row r="47" spans="1:15" ht="19.5" customHeight="1" x14ac:dyDescent="0.3">
      <c r="A47" s="11" t="s">
        <v>26</v>
      </c>
      <c r="B47" s="12">
        <f t="shared" ref="B47:O47" si="10">SUM(B46,B40)</f>
        <v>558.23476576858377</v>
      </c>
      <c r="C47" s="12">
        <f t="shared" si="10"/>
        <v>551.33831344481212</v>
      </c>
      <c r="D47" s="12">
        <f t="shared" si="10"/>
        <v>199.132596338658</v>
      </c>
      <c r="E47" s="12">
        <f t="shared" si="10"/>
        <v>328.404386118096</v>
      </c>
      <c r="F47" s="12">
        <f t="shared" si="10"/>
        <v>323.75289773040004</v>
      </c>
      <c r="G47" s="12">
        <f t="shared" si="10"/>
        <v>738.57785900606405</v>
      </c>
      <c r="H47" s="12">
        <f t="shared" si="10"/>
        <v>1228.2839947558971</v>
      </c>
      <c r="I47" s="12">
        <f t="shared" si="10"/>
        <v>1162.2190183687023</v>
      </c>
      <c r="J47" s="12">
        <f t="shared" si="10"/>
        <v>1168.9736114135594</v>
      </c>
      <c r="K47" s="12">
        <f t="shared" si="10"/>
        <v>1238.9758503824246</v>
      </c>
      <c r="L47" s="12">
        <f t="shared" si="10"/>
        <v>1207.6036954295089</v>
      </c>
      <c r="M47" s="12">
        <f t="shared" si="10"/>
        <v>740.08288078530416</v>
      </c>
      <c r="N47" s="12">
        <f t="shared" si="10"/>
        <v>9445.579869542009</v>
      </c>
      <c r="O47" s="12">
        <f t="shared" si="10"/>
        <v>63344.46</v>
      </c>
    </row>
    <row r="48" spans="1:1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8.75" customHeight="1" x14ac:dyDescent="0.3">
      <c r="A49" s="2"/>
      <c r="B49" s="7" t="s">
        <v>39</v>
      </c>
      <c r="C49" s="7" t="s">
        <v>39</v>
      </c>
      <c r="D49" s="7" t="s">
        <v>39</v>
      </c>
      <c r="E49" s="7" t="s">
        <v>39</v>
      </c>
      <c r="F49" s="7" t="s">
        <v>39</v>
      </c>
      <c r="G49" s="7" t="s">
        <v>39</v>
      </c>
      <c r="H49" s="7" t="s">
        <v>39</v>
      </c>
      <c r="I49" s="7" t="s">
        <v>39</v>
      </c>
      <c r="J49" s="7" t="s">
        <v>39</v>
      </c>
      <c r="K49" s="7" t="s">
        <v>39</v>
      </c>
      <c r="L49" s="7" t="s">
        <v>39</v>
      </c>
      <c r="M49" s="7" t="s">
        <v>39</v>
      </c>
      <c r="N49" s="7" t="s">
        <v>39</v>
      </c>
      <c r="O49" s="7" t="s">
        <v>39</v>
      </c>
    </row>
    <row r="50" spans="1:15" ht="15" customHeight="1" x14ac:dyDescent="0.25">
      <c r="A50" s="2" t="s">
        <v>17</v>
      </c>
      <c r="B50" s="8">
        <f>'Mensual 2025'!C22+'Mensual 2025'!C35</f>
        <v>23.725634322249995</v>
      </c>
      <c r="C50" s="8">
        <f>'Mensual 2025'!D22+'Mensual 2025'!D35</f>
        <v>23.792610401749997</v>
      </c>
      <c r="D50" s="8">
        <f>'Mensual 2025'!E22+'Mensual 2025'!E35</f>
        <v>11.213055046999999</v>
      </c>
      <c r="E50" s="8">
        <f>'Mensual 2025'!F22+'Mensual 2025'!F35</f>
        <v>9.6798446389499979</v>
      </c>
      <c r="F50" s="8">
        <f>'Mensual 2025'!G22+'Mensual 2025'!G35</f>
        <v>29.066745458999996</v>
      </c>
      <c r="G50" s="8">
        <f>'Mensual 2025'!H22+'Mensual 2025'!H35</f>
        <v>40.845560630442002</v>
      </c>
      <c r="H50" s="8">
        <f>'Mensual 2025'!I22+'Mensual 2025'!I35</f>
        <v>28.680127839750003</v>
      </c>
      <c r="I50" s="8">
        <f>'Mensual 2025'!J22+'Mensual 2025'!J35</f>
        <v>15.35776429875</v>
      </c>
      <c r="J50" s="8">
        <f>'Mensual 2025'!K22+'Mensual 2025'!K35</f>
        <v>12.291526895000001</v>
      </c>
      <c r="K50" s="8">
        <f>'Mensual 2025'!L22+'Mensual 2025'!L35</f>
        <v>29.782626305999997</v>
      </c>
      <c r="L50" s="8">
        <f>'Mensual 2025'!M22+'Mensual 2025'!M35</f>
        <v>20.268903278250001</v>
      </c>
      <c r="M50" s="8">
        <f>'Mensual 2025'!N22+'Mensual 2025'!N35</f>
        <v>33.508140411249997</v>
      </c>
      <c r="N50" s="8">
        <f t="shared" ref="N50:N60" si="11">SUM(B50:M50)</f>
        <v>278.21253952839197</v>
      </c>
      <c r="O50" s="9">
        <v>590</v>
      </c>
    </row>
    <row r="51" spans="1:15" ht="18" customHeight="1" x14ac:dyDescent="0.25">
      <c r="A51" s="2" t="s">
        <v>18</v>
      </c>
      <c r="B51" s="8">
        <f>'Mensual 2025'!C23</f>
        <v>35.44722633312</v>
      </c>
      <c r="C51" s="8">
        <f>'Mensual 2025'!D23</f>
        <v>35.232748714800003</v>
      </c>
      <c r="D51" s="8">
        <f>'Mensual 2025'!E23</f>
        <v>16.974804517199999</v>
      </c>
      <c r="E51" s="8">
        <f>'Mensual 2025'!F23</f>
        <v>14.770551908123998</v>
      </c>
      <c r="F51" s="8">
        <f>'Mensual 2025'!G23</f>
        <v>43.230635596079999</v>
      </c>
      <c r="G51" s="8">
        <f>'Mensual 2025'!H23</f>
        <v>60.12340001711604</v>
      </c>
      <c r="H51" s="8">
        <f>'Mensual 2025'!I23</f>
        <v>42.613239757320002</v>
      </c>
      <c r="I51" s="8">
        <f>'Mensual 2025'!J23</f>
        <v>24.028223794199999</v>
      </c>
      <c r="J51" s="8">
        <f>'Mensual 2025'!K23</f>
        <v>19.587038760000002</v>
      </c>
      <c r="K51" s="8">
        <f>'Mensual 2025'!L23</f>
        <v>45.093559162319998</v>
      </c>
      <c r="L51" s="8">
        <f>'Mensual 2025'!M23</f>
        <v>30.805641249840001</v>
      </c>
      <c r="M51" s="8">
        <f>'Mensual 2025'!N23</f>
        <v>49.372616557800001</v>
      </c>
      <c r="N51" s="8">
        <f t="shared" si="11"/>
        <v>417.27968636792002</v>
      </c>
      <c r="O51" s="9">
        <v>1038</v>
      </c>
    </row>
    <row r="52" spans="1:15" ht="18" customHeight="1" x14ac:dyDescent="0.25">
      <c r="A52" s="2" t="s">
        <v>40</v>
      </c>
      <c r="B52" s="8">
        <f>'Mensual 2025'!C24</f>
        <v>30.221588323500001</v>
      </c>
      <c r="C52" s="8">
        <f>'Mensual 2025'!D24</f>
        <v>29.829733342499999</v>
      </c>
      <c r="D52" s="8">
        <f>'Mensual 2025'!E24</f>
        <v>14.665477224</v>
      </c>
      <c r="E52" s="8">
        <f>'Mensual 2025'!F24</f>
        <v>12.868322923799999</v>
      </c>
      <c r="F52" s="8">
        <f>'Mensual 2025'!G24</f>
        <v>36.605764475999997</v>
      </c>
      <c r="G52" s="8">
        <f>'Mensual 2025'!H24</f>
        <v>50.305073322663006</v>
      </c>
      <c r="H52" s="8">
        <f>'Mensual 2025'!I24</f>
        <v>36.042020203500002</v>
      </c>
      <c r="I52" s="8">
        <f>'Mensual 2025'!J24</f>
        <v>21.492981931499997</v>
      </c>
      <c r="J52" s="8">
        <f>'Mensual 2025'!K24</f>
        <v>17.847578874</v>
      </c>
      <c r="K52" s="8">
        <f>'Mensual 2025'!L24</f>
        <v>38.954612537999999</v>
      </c>
      <c r="L52" s="8">
        <f>'Mensual 2025'!M24</f>
        <v>26.722618213499999</v>
      </c>
      <c r="M52" s="8">
        <f>'Mensual 2025'!N24</f>
        <v>41.358428200500001</v>
      </c>
      <c r="N52" s="8">
        <f t="shared" si="11"/>
        <v>356.91419957346301</v>
      </c>
      <c r="O52" s="9">
        <v>803</v>
      </c>
    </row>
    <row r="53" spans="1:15" ht="15" customHeight="1" x14ac:dyDescent="0.25">
      <c r="A53" s="2" t="s">
        <v>41</v>
      </c>
      <c r="B53" s="8">
        <f>'Mensual 2025'!C25+'Mensual 2025'!C36</f>
        <v>335.08098729350002</v>
      </c>
      <c r="C53" s="8">
        <f>'Mensual 2025'!D25+'Mensual 2025'!D36</f>
        <v>351.40487790112002</v>
      </c>
      <c r="D53" s="8">
        <f>'Mensual 2025'!E25+'Mensual 2025'!E36</f>
        <v>136.87391456850997</v>
      </c>
      <c r="E53" s="8">
        <f>'Mensual 2025'!F25+'Mensual 2025'!F36</f>
        <v>103.90796228496001</v>
      </c>
      <c r="F53" s="8">
        <f>'Mensual 2025'!G25+'Mensual 2025'!G36</f>
        <v>439.41037725719997</v>
      </c>
      <c r="G53" s="8">
        <f>'Mensual 2025'!H25+'Mensual 2025'!H36</f>
        <v>684.97979806515355</v>
      </c>
      <c r="H53" s="8">
        <f>'Mensual 2025'!I25+'Mensual 2025'!I36</f>
        <v>438.1382612031</v>
      </c>
      <c r="I53" s="8">
        <f>'Mensual 2025'!J25+'Mensual 2025'!J36</f>
        <v>104.13269092109999</v>
      </c>
      <c r="J53" s="8">
        <f>'Mensual 2025'!K25+'Mensual 2025'!K36</f>
        <v>44.920458223599994</v>
      </c>
      <c r="K53" s="8">
        <f>'Mensual 2025'!L25+'Mensual 2025'!L36</f>
        <v>364.12027574639995</v>
      </c>
      <c r="L53" s="8">
        <f>'Mensual 2025'!M25+'Mensual 2025'!M36</f>
        <v>235.21523858729995</v>
      </c>
      <c r="M53" s="8">
        <f>'Mensual 2025'!N25+'Mensual 2025'!N36</f>
        <v>533.98034871710001</v>
      </c>
      <c r="N53" s="8">
        <f t="shared" si="11"/>
        <v>3772.165190769043</v>
      </c>
      <c r="O53" s="9">
        <v>9884</v>
      </c>
    </row>
    <row r="54" spans="1:15" ht="15" customHeight="1" x14ac:dyDescent="0.25">
      <c r="A54" s="2" t="s">
        <v>20</v>
      </c>
      <c r="B54" s="8">
        <f>'Mensual 2025'!C26+'Mensual 2025'!C37</f>
        <v>646.58817254499991</v>
      </c>
      <c r="C54" s="8">
        <f>'Mensual 2025'!D26+'Mensual 2025'!D37</f>
        <v>576.09308349499997</v>
      </c>
      <c r="D54" s="8">
        <f>'Mensual 2025'!E26+'Mensual 2025'!E37</f>
        <v>374.52445657999999</v>
      </c>
      <c r="E54" s="8">
        <f>'Mensual 2025'!F26+'Mensual 2025'!F37</f>
        <v>362.31344538899998</v>
      </c>
      <c r="F54" s="8">
        <f>'Mensual 2025'!G26+'Mensual 2025'!G37</f>
        <v>699.38647337999987</v>
      </c>
      <c r="G54" s="8">
        <f>'Mensual 2025'!H26+'Mensual 2025'!H37</f>
        <v>766.20178883094002</v>
      </c>
      <c r="H54" s="8">
        <f>'Mensual 2025'!I26+'Mensual 2025'!I37</f>
        <v>675.41256079499999</v>
      </c>
      <c r="I54" s="8">
        <f>'Mensual 2025'!J26+'Mensual 2025'!J37</f>
        <v>780.34391137499995</v>
      </c>
      <c r="J54" s="8">
        <f>'Mensual 2025'!K26+'Mensual 2025'!K37</f>
        <v>747.82560230000001</v>
      </c>
      <c r="K54" s="8">
        <f>'Mensual 2025'!L26+'Mensual 2025'!L37</f>
        <v>992.91233832</v>
      </c>
      <c r="L54" s="8">
        <f>'Mensual 2025'!M26+'Mensual 2025'!M37</f>
        <v>716.13713146500004</v>
      </c>
      <c r="M54" s="8">
        <f>'Mensual 2025'!N26+'Mensual 2025'!N37</f>
        <v>645.75682202499991</v>
      </c>
      <c r="N54" s="8">
        <f t="shared" si="11"/>
        <v>7983.4957864999396</v>
      </c>
      <c r="O54" s="9">
        <v>10521</v>
      </c>
    </row>
    <row r="55" spans="1:15" ht="15" customHeight="1" x14ac:dyDescent="0.25">
      <c r="A55" s="2" t="s">
        <v>22</v>
      </c>
      <c r="B55" s="8">
        <f>'Mensual 2025'!C27+'Mensual 2025'!C38</f>
        <v>1.7951437905100001</v>
      </c>
      <c r="C55" s="8">
        <f>'Mensual 2025'!D27+'Mensual 2025'!D38</f>
        <v>1.6492859528899997</v>
      </c>
      <c r="D55" s="8">
        <f>'Mensual 2025'!E27+'Mensual 2025'!E38</f>
        <v>0.98595029531</v>
      </c>
      <c r="E55" s="8">
        <f>'Mensual 2025'!F27+'Mensual 2025'!F38</f>
        <v>0.928232535282</v>
      </c>
      <c r="F55" s="8">
        <f>'Mensual 2025'!G27+'Mensual 2025'!G38</f>
        <v>2.0224978784400003</v>
      </c>
      <c r="G55" s="8">
        <f>'Mensual 2025'!H27+'Mensual 2025'!H38</f>
        <v>2.4157588364707197</v>
      </c>
      <c r="H55" s="8">
        <f>'Mensual 2025'!I27+'Mensual 2025'!I38</f>
        <v>1.9667196272100003</v>
      </c>
      <c r="I55" s="8">
        <f>'Mensual 2025'!J27+'Mensual 2025'!J38</f>
        <v>1.8771986512500001</v>
      </c>
      <c r="J55" s="8">
        <f>'Mensual 2025'!K27+'Mensual 2025'!K38</f>
        <v>1.7450557514000002</v>
      </c>
      <c r="K55" s="8">
        <f>'Mensual 2025'!L27+'Mensual 2025'!L38</f>
        <v>2.6161397901600001</v>
      </c>
      <c r="L55" s="8">
        <f>'Mensual 2025'!M27+'Mensual 2025'!M38</f>
        <v>1.8599598236700001</v>
      </c>
      <c r="M55" s="8">
        <f>'Mensual 2025'!N27+'Mensual 2025'!N38</f>
        <v>2.0156387699499998</v>
      </c>
      <c r="N55" s="8">
        <f t="shared" si="11"/>
        <v>21.87758170254272</v>
      </c>
      <c r="O55" s="9">
        <v>36</v>
      </c>
    </row>
    <row r="56" spans="1:15" ht="15" customHeight="1" x14ac:dyDescent="0.25">
      <c r="A56" s="2" t="s">
        <v>21</v>
      </c>
      <c r="B56" s="8">
        <f>'Mensual 2025'!C28+'Mensual 2025'!C39</f>
        <v>13.219973770499999</v>
      </c>
      <c r="C56" s="8">
        <f>'Mensual 2025'!D28+'Mensual 2025'!D39</f>
        <v>11.053749422699999</v>
      </c>
      <c r="D56" s="8">
        <f>'Mensual 2025'!E28+'Mensual 2025'!E39</f>
        <v>8.2709403506999983</v>
      </c>
      <c r="E56" s="8">
        <f>'Mensual 2025'!F28+'Mensual 2025'!F39</f>
        <v>8.2757212734600003</v>
      </c>
      <c r="F56" s="8">
        <f>'Mensual 2025'!G28+'Mensual 2025'!G39</f>
        <v>13.575661261199997</v>
      </c>
      <c r="G56" s="8">
        <f>'Mensual 2025'!H28+'Mensual 2025'!H39</f>
        <v>12.7921509079956</v>
      </c>
      <c r="H56" s="8">
        <f>'Mensual 2025'!I28+'Mensual 2025'!I39</f>
        <v>12.969388885499999</v>
      </c>
      <c r="I56" s="8">
        <f>'Mensual 2025'!J28+'Mensual 2025'!J39</f>
        <v>19.093009869899998</v>
      </c>
      <c r="J56" s="8">
        <f>'Mensual 2025'!K28+'Mensual 2025'!K39</f>
        <v>18.858104276399999</v>
      </c>
      <c r="K56" s="8">
        <f>'Mensual 2025'!L28+'Mensual 2025'!L39</f>
        <v>21.9271224672</v>
      </c>
      <c r="L56" s="8">
        <f>'Mensual 2025'!M28+'Mensual 2025'!M39</f>
        <v>16.094975310900001</v>
      </c>
      <c r="M56" s="8">
        <f>'Mensual 2025'!N28+'Mensual 2025'!N39</f>
        <v>10.993094385300001</v>
      </c>
      <c r="N56" s="8">
        <f t="shared" si="11"/>
        <v>167.12389218175559</v>
      </c>
      <c r="O56" s="9">
        <v>388</v>
      </c>
    </row>
    <row r="57" spans="1:15" ht="18" customHeight="1" x14ac:dyDescent="0.25">
      <c r="A57" s="2" t="s">
        <v>42</v>
      </c>
      <c r="B57" s="8">
        <f>'Mensual 2025'!C29</f>
        <v>15.062553184720999</v>
      </c>
      <c r="C57" s="8">
        <f>'Mensual 2025'!D29</f>
        <v>16.030959723414998</v>
      </c>
      <c r="D57" s="8">
        <f>'Mensual 2025'!E29</f>
        <v>6.2341171409799996</v>
      </c>
      <c r="E57" s="8">
        <f>'Mensual 2025'!F29</f>
        <v>4.8810067117121987</v>
      </c>
      <c r="F57" s="8">
        <f>'Mensual 2025'!G29</f>
        <v>19.646504210724</v>
      </c>
      <c r="G57" s="8">
        <f>'Mensual 2025'!H29</f>
        <v>30.389334902118009</v>
      </c>
      <c r="H57" s="8">
        <f>'Mensual 2025'!I29</f>
        <v>19.573584293930999</v>
      </c>
      <c r="I57" s="8">
        <f>'Mensual 2025'!J29</f>
        <v>5.1050846810549988</v>
      </c>
      <c r="J57" s="8">
        <f>'Mensual 2025'!K29</f>
        <v>2.5027579130199999</v>
      </c>
      <c r="K57" s="8">
        <f>'Mensual 2025'!L29</f>
        <v>16.582322465615999</v>
      </c>
      <c r="L57" s="8">
        <f>'Mensual 2025'!M29</f>
        <v>10.766507480216999</v>
      </c>
      <c r="M57" s="8">
        <f>'Mensual 2025'!N29</f>
        <v>24.709457574904995</v>
      </c>
      <c r="N57" s="8">
        <f t="shared" si="11"/>
        <v>171.4841902824142</v>
      </c>
      <c r="O57" s="9">
        <v>469</v>
      </c>
    </row>
    <row r="58" spans="1:15" ht="15" customHeight="1" x14ac:dyDescent="0.25">
      <c r="A58" s="2" t="s">
        <v>23</v>
      </c>
      <c r="B58" s="8">
        <f>'Mensual 2025'!C30+'Mensual 2025'!C40</f>
        <v>3.0235844970449999E-3</v>
      </c>
      <c r="C58" s="8">
        <f>'Mensual 2025'!D30+'Mensual 2025'!D40</f>
        <v>3.320966472075E-3</v>
      </c>
      <c r="D58" s="8">
        <f>'Mensual 2025'!E30+'Mensual 2025'!E40</f>
        <v>1.2098619317399998E-3</v>
      </c>
      <c r="E58" s="8">
        <f>'Mensual 2025'!F30+'Mensual 2025'!F40</f>
        <v>9.2681040973499986E-4</v>
      </c>
      <c r="F58" s="8">
        <f>'Mensual 2025'!G30+'Mensual 2025'!G40</f>
        <v>3.9253160834999993E-3</v>
      </c>
      <c r="G58" s="8">
        <f>'Mensual 2025'!H30+'Mensual 2025'!H40</f>
        <v>6.15271867812E-3</v>
      </c>
      <c r="H58" s="8">
        <f>'Mensual 2025'!I30+'Mensual 2025'!I40</f>
        <v>3.9162344611949999E-3</v>
      </c>
      <c r="I58" s="8">
        <f>'Mensual 2025'!J30+'Mensual 2025'!J40</f>
        <v>8.663232378149999E-4</v>
      </c>
      <c r="J58" s="8">
        <f>'Mensual 2025'!K30+'Mensual 2025'!K40</f>
        <v>3.3095322414E-4</v>
      </c>
      <c r="K58" s="8">
        <f>'Mensual 2025'!L30+'Mensual 2025'!L40</f>
        <v>3.2097555932399996E-3</v>
      </c>
      <c r="L58" s="8">
        <f>'Mensual 2025'!M30+'Mensual 2025'!M40</f>
        <v>2.0656740532049999E-3</v>
      </c>
      <c r="M58" s="8">
        <f>'Mensual 2025'!N30+'Mensual 2025'!N40</f>
        <v>4.9969106167049989E-3</v>
      </c>
      <c r="N58" s="8">
        <f t="shared" si="11"/>
        <v>3.3945109258514995E-2</v>
      </c>
      <c r="O58" s="9">
        <v>0.08</v>
      </c>
    </row>
    <row r="59" spans="1:15" ht="15" customHeight="1" x14ac:dyDescent="0.25">
      <c r="A59" s="2" t="s">
        <v>43</v>
      </c>
      <c r="B59" s="8">
        <f>('Tasas 2025'!C119*'CS 5'!$C$14+'Tasas 2025'!C120*'CS 5'!$B$14+'Tasas 2025'!C121*'CS 6'!$C$14+'Tasas 2025'!C122*'CS 6'!$B$14)/2000</f>
        <v>0</v>
      </c>
      <c r="C59" s="8">
        <f>('Tasas 2025'!D119*'CS 5'!$C$14+'Tasas 2025'!D120*'CS 5'!$B$14+'Tasas 2025'!D121*'CS 6'!$C$14+'Tasas 2025'!D122*'CS 6'!$B$14)/2000</f>
        <v>0</v>
      </c>
      <c r="D59" s="8">
        <f>('Tasas 2025'!E119*'CS 5'!$C$14+'Tasas 2025'!E120*'CS 5'!$B$14+'Tasas 2025'!E121*'CS 6'!$C$14+'Tasas 2025'!E122*'CS 6'!$B$14)/2000</f>
        <v>0</v>
      </c>
      <c r="E59" s="8">
        <f>('Tasas 2025'!F119*'CS 5'!$C$14+'Tasas 2025'!F120*'CS 5'!$B$14+'Tasas 2025'!F121*'CS 6'!$C$14+'Tasas 2025'!F122*'CS 6'!$B$14)/2000</f>
        <v>0</v>
      </c>
      <c r="F59" s="8">
        <f>('Tasas 2025'!G119*'CS 5'!$C$14+'Tasas 2025'!G120*'CS 5'!$B$14+'Tasas 2025'!G121*'CS 6'!$C$14+'Tasas 2025'!G122*'CS 6'!$B$14)/2000</f>
        <v>0</v>
      </c>
      <c r="G59" s="8">
        <f>('Tasas 2025'!H119*'CS 5'!$C$14+'Tasas 2025'!H120*'CS 5'!$B$14+'Tasas 2025'!H121*'CS 6'!$C$14+'Tasas 2025'!H122*'CS 6'!$B$14)/2000</f>
        <v>0</v>
      </c>
      <c r="H59" s="8">
        <f>('Tasas 2025'!I119*'CS 5'!$C$14+'Tasas 2025'!I120*'CS 5'!$B$14+'Tasas 2025'!I121*'CS 6'!$C$14+'Tasas 2025'!I122*'CS 6'!$B$14)/2000</f>
        <v>0</v>
      </c>
      <c r="I59" s="8">
        <f>('Tasas 2025'!J119*'CS 5'!$C$14+'Tasas 2025'!J120*'CS 5'!$B$14+'Tasas 2025'!J121*'CS 6'!$C$14+'Tasas 2025'!J122*'CS 6'!$B$14)/2000</f>
        <v>0</v>
      </c>
      <c r="J59" s="8">
        <f>('Tasas 2025'!K119*'CS 5'!$C$14+'Tasas 2025'!K120*'CS 5'!$B$14+'Tasas 2025'!K121*'CS 6'!$C$14+'Tasas 2025'!K122*'CS 6'!$B$14)/2000</f>
        <v>0</v>
      </c>
      <c r="K59" s="8">
        <f>('Tasas 2025'!L119*'CS 5'!$C$14+'Tasas 2025'!L120*'CS 5'!$B$14+'Tasas 2025'!L121*'CS 6'!$C$14+'Tasas 2025'!L122*'CS 6'!$B$14)/2000</f>
        <v>0</v>
      </c>
      <c r="L59" s="8">
        <f>('Tasas 2025'!M119*'CS 5'!$C$14+'Tasas 2025'!M120*'CS 5'!$B$14+'Tasas 2025'!M121*'CS 6'!$C$14+'Tasas 2025'!M122*'CS 6'!$B$14)/2000</f>
        <v>0</v>
      </c>
      <c r="M59" s="8">
        <f>('Tasas 2025'!N119*'CS 5'!$C$14+'Tasas 2025'!N120*'CS 5'!$B$14+'Tasas 2025'!N121*'CS 6'!$C$14+'Tasas 2025'!N122*'CS 6'!$B$14)/2000</f>
        <v>0</v>
      </c>
      <c r="N59" s="8">
        <f t="shared" si="11"/>
        <v>0</v>
      </c>
      <c r="O59" s="9">
        <v>0</v>
      </c>
    </row>
    <row r="60" spans="1:15" ht="15" customHeight="1" x14ac:dyDescent="0.25">
      <c r="A60" s="2" t="s">
        <v>24</v>
      </c>
      <c r="B60" s="8">
        <f>'Mensual 2025'!C31+'Mensual 2025'!C41</f>
        <v>249029.62340021817</v>
      </c>
      <c r="C60" s="8">
        <f>'Mensual 2025'!D31+'Mensual 2025'!D41</f>
        <v>227632.55433690781</v>
      </c>
      <c r="D60" s="8">
        <f>'Mensual 2025'!E31+'Mensual 2025'!E41</f>
        <v>138258.38452037121</v>
      </c>
      <c r="E60" s="8">
        <f>'Mensual 2025'!F31+'Mensual 2025'!F41</f>
        <v>130930.13880884454</v>
      </c>
      <c r="F60" s="8">
        <f>'Mensual 2025'!G31+'Mensual 2025'!G41</f>
        <v>278081.31657426769</v>
      </c>
      <c r="G60" s="8">
        <f>'Mensual 2025'!H31+'Mensual 2025'!H41</f>
        <v>326622.41626554675</v>
      </c>
      <c r="H60" s="8">
        <f>'Mensual 2025'!I31+'Mensual 2025'!I41</f>
        <v>270037.57290065847</v>
      </c>
      <c r="I60" s="8">
        <f>'Mensual 2025'!J31+'Mensual 2025'!J41</f>
        <v>268591.90508993663</v>
      </c>
      <c r="J60" s="8">
        <f>'Mensual 2025'!K31+'Mensual 2025'!K41</f>
        <v>251476.43462992788</v>
      </c>
      <c r="K60" s="8">
        <f>'Mensual 2025'!L31+'Mensual 2025'!L41</f>
        <v>366757.65029890323</v>
      </c>
      <c r="L60" s="8">
        <f>'Mensual 2025'!M31+'Mensual 2025'!M41</f>
        <v>261565.50355358492</v>
      </c>
      <c r="M60" s="8">
        <f>'Mensual 2025'!N31+'Mensual 2025'!N41</f>
        <v>273040.66998280282</v>
      </c>
      <c r="N60" s="8">
        <f t="shared" si="11"/>
        <v>3042024.1703619706</v>
      </c>
      <c r="O60" s="10" t="s">
        <v>25</v>
      </c>
    </row>
    <row r="61" spans="1:15" ht="19.5" customHeight="1" x14ac:dyDescent="0.3">
      <c r="A61" s="11" t="s">
        <v>26</v>
      </c>
      <c r="B61" s="12">
        <f t="shared" ref="B61:O61" si="12">SUM(B50:B59)</f>
        <v>1101.1443031475981</v>
      </c>
      <c r="C61" s="12">
        <f t="shared" si="12"/>
        <v>1045.0903699206469</v>
      </c>
      <c r="D61" s="12">
        <f t="shared" si="12"/>
        <v>569.7439255856317</v>
      </c>
      <c r="E61" s="12">
        <f t="shared" si="12"/>
        <v>517.62601447569784</v>
      </c>
      <c r="F61" s="12">
        <f t="shared" si="12"/>
        <v>1282.9485848347272</v>
      </c>
      <c r="G61" s="12">
        <f t="shared" si="12"/>
        <v>1648.0590182315773</v>
      </c>
      <c r="H61" s="12">
        <f t="shared" si="12"/>
        <v>1255.3998188397723</v>
      </c>
      <c r="I61" s="12">
        <f t="shared" si="12"/>
        <v>971.43173184599277</v>
      </c>
      <c r="J61" s="12">
        <f t="shared" si="12"/>
        <v>865.57845394664412</v>
      </c>
      <c r="K61" s="12">
        <f t="shared" si="12"/>
        <v>1511.9922065512892</v>
      </c>
      <c r="L61" s="12">
        <f t="shared" si="12"/>
        <v>1057.8730410827302</v>
      </c>
      <c r="M61" s="12">
        <f t="shared" si="12"/>
        <v>1341.6995435524218</v>
      </c>
      <c r="N61" s="12">
        <f t="shared" si="12"/>
        <v>13168.587012014728</v>
      </c>
      <c r="O61" s="12">
        <f t="shared" si="12"/>
        <v>23729.08</v>
      </c>
    </row>
    <row r="62" spans="1:1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8.75" customHeight="1" x14ac:dyDescent="0.3">
      <c r="A63" s="2"/>
      <c r="B63" s="7" t="s">
        <v>44</v>
      </c>
      <c r="C63" s="7" t="s">
        <v>44</v>
      </c>
      <c r="D63" s="7" t="s">
        <v>44</v>
      </c>
      <c r="E63" s="7" t="s">
        <v>44</v>
      </c>
      <c r="F63" s="7" t="s">
        <v>44</v>
      </c>
      <c r="G63" s="7" t="s">
        <v>44</v>
      </c>
      <c r="H63" s="7" t="s">
        <v>44</v>
      </c>
      <c r="I63" s="7" t="s">
        <v>44</v>
      </c>
      <c r="J63" s="7" t="s">
        <v>44</v>
      </c>
      <c r="K63" s="7" t="s">
        <v>44</v>
      </c>
      <c r="L63" s="7" t="s">
        <v>44</v>
      </c>
      <c r="M63" s="7" t="s">
        <v>44</v>
      </c>
      <c r="N63" s="7" t="s">
        <v>44</v>
      </c>
      <c r="O63" s="7" t="s">
        <v>44</v>
      </c>
    </row>
    <row r="64" spans="1:15" ht="18" customHeight="1" x14ac:dyDescent="0.25">
      <c r="A64" s="2" t="s">
        <v>18</v>
      </c>
      <c r="B64" s="8">
        <f>'Mensual 2025'!C99</f>
        <v>14.535</v>
      </c>
      <c r="C64" s="8">
        <f>'Mensual 2025'!D99</f>
        <v>13.157999999999999</v>
      </c>
      <c r="D64" s="8">
        <f>'Mensual 2025'!E99</f>
        <v>19.737000000000002</v>
      </c>
      <c r="E64" s="8">
        <f>'Mensual 2025'!F99</f>
        <v>21.598500000000001</v>
      </c>
      <c r="F64" s="8">
        <f>'Mensual 2025'!G99</f>
        <v>8.5425000000000004</v>
      </c>
      <c r="G64" s="8">
        <f>'Mensual 2025'!H99</f>
        <v>7.8285</v>
      </c>
      <c r="H64" s="8">
        <f>'Mensual 2025'!I99</f>
        <v>8.5169999999999995</v>
      </c>
      <c r="I64" s="8">
        <f>'Mensual 2025'!J99</f>
        <v>9.7155000000000005</v>
      </c>
      <c r="J64" s="8">
        <f>'Mensual 2025'!K99</f>
        <v>5.3040000000000003</v>
      </c>
      <c r="K64" s="8">
        <f>'Mensual 2025'!L99</f>
        <v>11.3985</v>
      </c>
      <c r="L64" s="8">
        <f>'Mensual 2025'!M99</f>
        <v>3.5190000000000001</v>
      </c>
      <c r="M64" s="8">
        <f>'Mensual 2025'!N99</f>
        <v>1.5044999999999999</v>
      </c>
      <c r="N64" s="8">
        <f t="shared" ref="N64:N70" si="13">SUM(B64:M64)</f>
        <v>125.35800000000002</v>
      </c>
      <c r="O64" s="9">
        <v>670</v>
      </c>
    </row>
    <row r="65" spans="1:15" ht="15" customHeight="1" x14ac:dyDescent="0.25">
      <c r="A65" s="2" t="s">
        <v>41</v>
      </c>
      <c r="B65" s="8">
        <f>'Mensual 2025'!C100</f>
        <v>39.045000000000002</v>
      </c>
      <c r="C65" s="8">
        <f>'Mensual 2025'!D100</f>
        <v>35.346000000000004</v>
      </c>
      <c r="D65" s="8">
        <f>'Mensual 2025'!E100</f>
        <v>53.019000000000005</v>
      </c>
      <c r="E65" s="8">
        <f>'Mensual 2025'!F100</f>
        <v>58.019500000000001</v>
      </c>
      <c r="F65" s="8">
        <f>'Mensual 2025'!G100</f>
        <v>22.947500000000002</v>
      </c>
      <c r="G65" s="8">
        <f>'Mensual 2025'!H100</f>
        <v>21.029499999999999</v>
      </c>
      <c r="H65" s="8">
        <f>'Mensual 2025'!I100</f>
        <v>22.879000000000001</v>
      </c>
      <c r="I65" s="8">
        <f>'Mensual 2025'!J100</f>
        <v>26.098500000000001</v>
      </c>
      <c r="J65" s="8">
        <f>'Mensual 2025'!K100</f>
        <v>14.247999999999999</v>
      </c>
      <c r="K65" s="8">
        <f>'Mensual 2025'!L100</f>
        <v>30.619499999999999</v>
      </c>
      <c r="L65" s="8">
        <f>'Mensual 2025'!M100</f>
        <v>9.4529999999999994</v>
      </c>
      <c r="M65" s="8">
        <f>'Mensual 2025'!N100</f>
        <v>4.0415000000000001</v>
      </c>
      <c r="N65" s="8">
        <f t="shared" si="13"/>
        <v>336.74599999999998</v>
      </c>
      <c r="O65" s="9">
        <v>1800</v>
      </c>
    </row>
    <row r="66" spans="1:15" ht="15" customHeight="1" x14ac:dyDescent="0.25">
      <c r="A66" s="2" t="s">
        <v>20</v>
      </c>
      <c r="B66" s="8">
        <f>'Mensual 2025'!C104</f>
        <v>25.998699999999996</v>
      </c>
      <c r="C66" s="8">
        <f>'Mensual 2025'!D104</f>
        <v>25.265999999999998</v>
      </c>
      <c r="D66" s="8">
        <f>'Mensual 2025'!E104</f>
        <v>38.411399999999993</v>
      </c>
      <c r="E66" s="8">
        <f>'Mensual 2025'!F104</f>
        <v>41.313400000000001</v>
      </c>
      <c r="F66" s="8">
        <f>'Mensual 2025'!G104</f>
        <v>17.992900000000002</v>
      </c>
      <c r="G66" s="8">
        <f>'Mensual 2025'!H104</f>
        <v>15.92465</v>
      </c>
      <c r="H66" s="8">
        <f>'Mensual 2025'!I104</f>
        <v>15.844749999999999</v>
      </c>
      <c r="I66" s="8">
        <f>'Mensual 2025'!J104</f>
        <v>17.06915</v>
      </c>
      <c r="J66" s="8">
        <f>'Mensual 2025'!K104</f>
        <v>10.5055</v>
      </c>
      <c r="K66" s="8">
        <f>'Mensual 2025'!L104</f>
        <v>19.507999999999999</v>
      </c>
      <c r="L66" s="8">
        <f>'Mensual 2025'!M104</f>
        <v>10.31325</v>
      </c>
      <c r="M66" s="8">
        <f>'Mensual 2025'!N104</f>
        <v>5.3121499999999999</v>
      </c>
      <c r="N66" s="8">
        <f t="shared" si="13"/>
        <v>243.45985000000002</v>
      </c>
      <c r="O66" s="9">
        <v>1801</v>
      </c>
    </row>
    <row r="67" spans="1:15" ht="15" customHeight="1" x14ac:dyDescent="0.25">
      <c r="A67" s="2" t="s">
        <v>22</v>
      </c>
      <c r="B67" s="8">
        <f>'Mensual 2025'!C101</f>
        <v>3.2909999999999999</v>
      </c>
      <c r="C67" s="8">
        <f>'Mensual 2025'!D101</f>
        <v>2.9139999999999997</v>
      </c>
      <c r="D67" s="8">
        <f>'Mensual 2025'!E101</f>
        <v>4.4139999999999997</v>
      </c>
      <c r="E67" s="8">
        <f>'Mensual 2025'!F101</f>
        <v>4.9574999999999996</v>
      </c>
      <c r="F67" s="8">
        <f>'Mensual 2025'!G101</f>
        <v>1.9024999999999999</v>
      </c>
      <c r="G67" s="8">
        <f>'Mensual 2025'!H101</f>
        <v>1.8174999999999999</v>
      </c>
      <c r="H67" s="8">
        <f>'Mensual 2025'!I101</f>
        <v>1.97</v>
      </c>
      <c r="I67" s="8">
        <f>'Mensual 2025'!J101</f>
        <v>2.2185000000000001</v>
      </c>
      <c r="J67" s="8">
        <f>'Mensual 2025'!K101</f>
        <v>1.2010000000000001</v>
      </c>
      <c r="K67" s="8">
        <f>'Mensual 2025'!L101</f>
        <v>2.6055000000000001</v>
      </c>
      <c r="L67" s="8">
        <f>'Mensual 2025'!M101</f>
        <v>0.80800000000000005</v>
      </c>
      <c r="M67" s="8">
        <f>'Mensual 2025'!N101</f>
        <v>0.35449999999999998</v>
      </c>
      <c r="N67" s="8">
        <f t="shared" si="13"/>
        <v>28.453999999999997</v>
      </c>
      <c r="O67" s="9">
        <v>180</v>
      </c>
    </row>
    <row r="68" spans="1:15" ht="15" customHeight="1" x14ac:dyDescent="0.25">
      <c r="A68" s="2" t="s">
        <v>21</v>
      </c>
      <c r="B68" s="8">
        <f>'Mensual 2025'!C105</f>
        <v>4.7995000000000001</v>
      </c>
      <c r="C68" s="8">
        <f>'Mensual 2025'!D105</f>
        <v>3.2044999999999999</v>
      </c>
      <c r="D68" s="8">
        <f>'Mensual 2025'!E105</f>
        <v>5.2534999999999998</v>
      </c>
      <c r="E68" s="8">
        <f>'Mensual 2025'!F105</f>
        <v>4.6444999999999999</v>
      </c>
      <c r="F68" s="8">
        <f>'Mensual 2025'!G105</f>
        <v>3.2029999999999998</v>
      </c>
      <c r="G68" s="8">
        <f>'Mensual 2025'!H105</f>
        <v>2.0295000000000001</v>
      </c>
      <c r="H68" s="8">
        <f>'Mensual 2025'!I105</f>
        <v>1.9225000000000001</v>
      </c>
      <c r="I68" s="8">
        <f>'Mensual 2025'!J105</f>
        <v>1.6830000000000001</v>
      </c>
      <c r="J68" s="8">
        <f>'Mensual 2025'!K105</f>
        <v>1.62</v>
      </c>
      <c r="K68" s="8">
        <f>'Mensual 2025'!L105</f>
        <v>1.554</v>
      </c>
      <c r="L68" s="8">
        <f>'Mensual 2025'!M105</f>
        <v>1.73</v>
      </c>
      <c r="M68" s="8">
        <f>'Mensual 2025'!N105</f>
        <v>1.1425000000000001</v>
      </c>
      <c r="N68" s="8">
        <f t="shared" si="13"/>
        <v>32.786499999999997</v>
      </c>
      <c r="O68" s="9">
        <v>713</v>
      </c>
    </row>
    <row r="69" spans="1:15" ht="15" customHeight="1" x14ac:dyDescent="0.25">
      <c r="A69" s="2" t="s">
        <v>23</v>
      </c>
      <c r="B69" s="8">
        <f>'Mensual 2025'!C102</f>
        <v>5.1059999999999994E-3</v>
      </c>
      <c r="C69" s="8">
        <f>'Mensual 2025'!D102</f>
        <v>4.3940000000000003E-3</v>
      </c>
      <c r="D69" s="8">
        <f>'Mensual 2025'!E102</f>
        <v>6.741500000000001E-3</v>
      </c>
      <c r="E69" s="8">
        <f>'Mensual 2025'!F102</f>
        <v>7.8224999999999996E-3</v>
      </c>
      <c r="F69" s="8">
        <f>'Mensual 2025'!G102</f>
        <v>2.8899999999999998E-3</v>
      </c>
      <c r="G69" s="8">
        <f>'Mensual 2025'!H102</f>
        <v>2.9074999999999999E-3</v>
      </c>
      <c r="H69" s="8">
        <f>'Mensual 2025'!I102</f>
        <v>3.1375000000000001E-3</v>
      </c>
      <c r="I69" s="8">
        <f>'Mensual 2025'!J102</f>
        <v>3.4784999999999998E-3</v>
      </c>
      <c r="J69" s="8">
        <f>'Mensual 2025'!K102</f>
        <v>1.8634999999999999E-3</v>
      </c>
      <c r="K69" s="8">
        <f>'Mensual 2025'!L102</f>
        <v>4.0904999999999995E-3</v>
      </c>
      <c r="L69" s="8">
        <f>'Mensual 2025'!M102</f>
        <v>1.2755000000000002E-3</v>
      </c>
      <c r="M69" s="8">
        <f>'Mensual 2025'!N102</f>
        <v>5.7699999999999993E-4</v>
      </c>
      <c r="N69" s="8">
        <f t="shared" si="13"/>
        <v>4.4283999999999997E-2</v>
      </c>
      <c r="O69" s="9">
        <v>0.3</v>
      </c>
    </row>
    <row r="70" spans="1:15" ht="15" customHeight="1" x14ac:dyDescent="0.25">
      <c r="A70" s="2" t="s">
        <v>24</v>
      </c>
      <c r="B70" s="8">
        <f>'Mensual 2025'!C103</f>
        <v>37396.00371528</v>
      </c>
      <c r="C70" s="8">
        <f>'Mensual 2025'!D103</f>
        <v>30741.30145422</v>
      </c>
      <c r="D70" s="8">
        <f>'Mensual 2025'!E103</f>
        <v>47658.284518319997</v>
      </c>
      <c r="E70" s="8">
        <f>'Mensual 2025'!F103</f>
        <v>53591.898743459999</v>
      </c>
      <c r="F70" s="8">
        <f>'Mensual 2025'!G103</f>
        <v>21984.06742182</v>
      </c>
      <c r="G70" s="8">
        <f>'Mensual 2025'!H103</f>
        <v>20505.325827419998</v>
      </c>
      <c r="H70" s="8">
        <f>'Mensual 2025'!I103</f>
        <v>21737.544110099996</v>
      </c>
      <c r="I70" s="8">
        <f>'Mensual 2025'!J103</f>
        <v>23783.459062860002</v>
      </c>
      <c r="J70" s="8">
        <f>'Mensual 2025'!K103</f>
        <v>13336.885560600002</v>
      </c>
      <c r="K70" s="8">
        <f>'Mensual 2025'!L103</f>
        <v>27362.304842039997</v>
      </c>
      <c r="L70" s="8">
        <f>'Mensual 2025'!M103</f>
        <v>12076.555635899998</v>
      </c>
      <c r="M70" s="8">
        <f>'Mensual 2025'!N103</f>
        <v>4865.9502767399999</v>
      </c>
      <c r="N70" s="8">
        <f t="shared" si="13"/>
        <v>315039.58116876002</v>
      </c>
      <c r="O70" s="10" t="s">
        <v>25</v>
      </c>
    </row>
    <row r="71" spans="1:15" ht="19.5" customHeight="1" x14ac:dyDescent="0.3">
      <c r="A71" s="11" t="s">
        <v>26</v>
      </c>
      <c r="B71" s="12">
        <f t="shared" ref="B71:O71" si="14">SUM(B64:B69)</f>
        <v>87.674305999999987</v>
      </c>
      <c r="C71" s="12">
        <f t="shared" si="14"/>
        <v>79.892894000000013</v>
      </c>
      <c r="D71" s="12">
        <f t="shared" si="14"/>
        <v>120.84164149999999</v>
      </c>
      <c r="E71" s="12">
        <f t="shared" si="14"/>
        <v>130.5412225</v>
      </c>
      <c r="F71" s="12">
        <f t="shared" si="14"/>
        <v>54.591290000000008</v>
      </c>
      <c r="G71" s="12">
        <f t="shared" si="14"/>
        <v>48.632557499999997</v>
      </c>
      <c r="H71" s="12">
        <f t="shared" si="14"/>
        <v>51.136387499999998</v>
      </c>
      <c r="I71" s="12">
        <f t="shared" si="14"/>
        <v>56.788128499999999</v>
      </c>
      <c r="J71" s="12">
        <f t="shared" si="14"/>
        <v>32.880363499999994</v>
      </c>
      <c r="K71" s="12">
        <f t="shared" si="14"/>
        <v>65.689590500000008</v>
      </c>
      <c r="L71" s="12">
        <f t="shared" si="14"/>
        <v>25.824525499999996</v>
      </c>
      <c r="M71" s="12">
        <f t="shared" si="14"/>
        <v>12.355727</v>
      </c>
      <c r="N71" s="12">
        <f t="shared" si="14"/>
        <v>766.84863399999995</v>
      </c>
      <c r="O71" s="12">
        <f t="shared" si="14"/>
        <v>5164.3</v>
      </c>
    </row>
    <row r="72" spans="1:1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8.75" customHeight="1" x14ac:dyDescent="0.3">
      <c r="A73" s="2"/>
      <c r="B73" s="7" t="s">
        <v>45</v>
      </c>
      <c r="C73" s="7" t="s">
        <v>45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 t="s">
        <v>45</v>
      </c>
      <c r="J73" s="7" t="s">
        <v>45</v>
      </c>
      <c r="K73" s="7" t="s">
        <v>45</v>
      </c>
      <c r="L73" s="7" t="s">
        <v>45</v>
      </c>
      <c r="M73" s="7" t="s">
        <v>45</v>
      </c>
      <c r="N73" s="7" t="s">
        <v>45</v>
      </c>
      <c r="O73" s="7" t="s">
        <v>45</v>
      </c>
    </row>
    <row r="74" spans="1:15" ht="15" customHeight="1" x14ac:dyDescent="0.25">
      <c r="A74" s="2" t="s">
        <v>17</v>
      </c>
      <c r="B74" s="8">
        <f>'Mensual 2025'!C163</f>
        <v>2.7655534015200005</v>
      </c>
      <c r="C74" s="8">
        <f>'Mensual 2025'!D163</f>
        <v>1.2018321302400001</v>
      </c>
      <c r="D74" s="8">
        <f>'Mensual 2025'!E163</f>
        <v>1.4197785386400001</v>
      </c>
      <c r="E74" s="8">
        <f>'Mensual 2025'!F163</f>
        <v>1.3840329837600001</v>
      </c>
      <c r="F74" s="8">
        <f>'Mensual 2025'!G163</f>
        <v>0.3554315856000001</v>
      </c>
      <c r="G74" s="8">
        <f>'Mensual 2025'!H163</f>
        <v>0.50149182887999999</v>
      </c>
      <c r="H74" s="8">
        <f>'Mensual 2025'!I163</f>
        <v>0.34819157016000002</v>
      </c>
      <c r="I74" s="8">
        <f>'Mensual 2025'!J163</f>
        <v>0.33933690504000003</v>
      </c>
      <c r="J74" s="8">
        <f>'Mensual 2025'!K163</f>
        <v>0.12115332432000001</v>
      </c>
      <c r="K74" s="8">
        <f>'Mensual 2025'!L163</f>
        <v>0.40504998240000006</v>
      </c>
      <c r="L74" s="8">
        <f>'Mensual 2025'!M163</f>
        <v>0.39061794240000008</v>
      </c>
      <c r="M74" s="8">
        <f>'Mensual 2025'!N163</f>
        <v>0.75028837463999998</v>
      </c>
      <c r="N74" s="8">
        <f t="shared" ref="N74:N80" si="15">SUM(B74:M74)</f>
        <v>9.9827585676000012</v>
      </c>
      <c r="O74" s="9">
        <v>83.1</v>
      </c>
    </row>
    <row r="75" spans="1:15" ht="15" customHeight="1" x14ac:dyDescent="0.25">
      <c r="A75" s="2" t="s">
        <v>41</v>
      </c>
      <c r="B75" s="8">
        <f>'Mensual 2025'!C164</f>
        <v>2.3276741129460001</v>
      </c>
      <c r="C75" s="8">
        <f>'Mensual 2025'!D164</f>
        <v>1.0115420429520001</v>
      </c>
      <c r="D75" s="8">
        <f>'Mensual 2025'!E164</f>
        <v>1.194980270022</v>
      </c>
      <c r="E75" s="8">
        <f>'Mensual 2025'!F164</f>
        <v>1.164894427998</v>
      </c>
      <c r="F75" s="8">
        <f>'Mensual 2025'!G164</f>
        <v>0.29915491788000004</v>
      </c>
      <c r="G75" s="8">
        <f>'Mensual 2025'!H164</f>
        <v>0.42208895597400004</v>
      </c>
      <c r="H75" s="8">
        <f>'Mensual 2025'!I164</f>
        <v>0.29306123821800001</v>
      </c>
      <c r="I75" s="8">
        <f>'Mensual 2025'!J164</f>
        <v>0.285608561742</v>
      </c>
      <c r="J75" s="8">
        <f>'Mensual 2025'!K164</f>
        <v>0.10197071463599999</v>
      </c>
      <c r="K75" s="8">
        <f>'Mensual 2025'!L164</f>
        <v>0.34091706852000003</v>
      </c>
      <c r="L75" s="8">
        <f>'Mensual 2025'!M164</f>
        <v>0.32877010152000002</v>
      </c>
      <c r="M75" s="8">
        <f>'Mensual 2025'!N164</f>
        <v>0.63149271532200002</v>
      </c>
      <c r="N75" s="8">
        <f t="shared" si="15"/>
        <v>8.4021551277300013</v>
      </c>
      <c r="O75" s="9">
        <v>304.82</v>
      </c>
    </row>
    <row r="76" spans="1:15" ht="15" customHeight="1" x14ac:dyDescent="0.25">
      <c r="A76" s="2" t="s">
        <v>20</v>
      </c>
      <c r="B76" s="8">
        <f>'Mensual 2025'!C165</f>
        <v>66.289788782433732</v>
      </c>
      <c r="C76" s="8">
        <f>'Mensual 2025'!D165</f>
        <v>28.807687467457441</v>
      </c>
      <c r="D76" s="8">
        <f>'Mensual 2025'!E165</f>
        <v>34.031821404189728</v>
      </c>
      <c r="E76" s="8">
        <f>'Mensual 2025'!F165</f>
        <v>33.175007255671119</v>
      </c>
      <c r="F76" s="8">
        <f>'Mensual 2025'!G165</f>
        <v>8.5196274724182448</v>
      </c>
      <c r="G76" s="8">
        <f>'Mensual 2025'!H165</f>
        <v>12.020663710308467</v>
      </c>
      <c r="H76" s="8">
        <f>'Mensual 2025'!I165</f>
        <v>8.3460856800104839</v>
      </c>
      <c r="I76" s="8">
        <f>'Mensual 2025'!J165</f>
        <v>8.1338410420218032</v>
      </c>
      <c r="J76" s="8">
        <f>'Mensual 2025'!K165</f>
        <v>2.904022129910194</v>
      </c>
      <c r="K76" s="8">
        <f>'Mensual 2025'!L165</f>
        <v>9.708971001922027</v>
      </c>
      <c r="L76" s="8">
        <f>'Mensual 2025'!M165</f>
        <v>9.3630377493680115</v>
      </c>
      <c r="M76" s="8">
        <f>'Mensual 2025'!N165</f>
        <v>17.984269569144828</v>
      </c>
      <c r="N76" s="8">
        <f t="shared" si="15"/>
        <v>239.2848232648561</v>
      </c>
      <c r="O76" s="9">
        <v>796.29</v>
      </c>
    </row>
    <row r="77" spans="1:15" ht="15" customHeight="1" x14ac:dyDescent="0.25">
      <c r="A77" s="2" t="s">
        <v>22</v>
      </c>
      <c r="B77" s="8">
        <f>'Mensual 2025'!C166</f>
        <v>9.4489741218600001E-2</v>
      </c>
      <c r="C77" s="8">
        <f>'Mensual 2025'!D166</f>
        <v>4.1062597783200004E-2</v>
      </c>
      <c r="D77" s="8">
        <f>'Mensual 2025'!E166</f>
        <v>4.8509100070200005E-2</v>
      </c>
      <c r="E77" s="8">
        <f>'Mensual 2025'!F166</f>
        <v>4.7287793611800001E-2</v>
      </c>
      <c r="F77" s="8">
        <f>'Mensual 2025'!G166</f>
        <v>1.2143912508000001E-2</v>
      </c>
      <c r="G77" s="8">
        <f>'Mensual 2025'!H166</f>
        <v>1.7134304153400001E-2</v>
      </c>
      <c r="H77" s="8">
        <f>'Mensual 2025'!I166</f>
        <v>1.1896545313800001E-2</v>
      </c>
      <c r="I77" s="8">
        <f>'Mensual 2025'!J166</f>
        <v>1.1594010922199999E-2</v>
      </c>
      <c r="J77" s="8">
        <f>'Mensual 2025'!K166</f>
        <v>4.1394052476E-3</v>
      </c>
      <c r="K77" s="8">
        <f>'Mensual 2025'!L166</f>
        <v>1.3839207732000001E-2</v>
      </c>
      <c r="L77" s="8">
        <f>'Mensual 2025'!M166</f>
        <v>1.3346113032E-2</v>
      </c>
      <c r="M77" s="8">
        <f>'Mensual 2025'!N166</f>
        <v>2.5634852800200003E-2</v>
      </c>
      <c r="N77" s="8">
        <f t="shared" si="15"/>
        <v>0.34107758439300001</v>
      </c>
      <c r="O77" s="9">
        <v>25.06</v>
      </c>
    </row>
    <row r="78" spans="1:15" ht="15" customHeight="1" x14ac:dyDescent="0.25">
      <c r="A78" s="2" t="s">
        <v>21</v>
      </c>
      <c r="B78" s="8">
        <f>'Mensual 2025'!C167</f>
        <v>0.76052718541799991</v>
      </c>
      <c r="C78" s="8">
        <f>'Mensual 2025'!D167</f>
        <v>0.33050383581599996</v>
      </c>
      <c r="D78" s="8">
        <f>'Mensual 2025'!E167</f>
        <v>0.39043909812600003</v>
      </c>
      <c r="E78" s="8">
        <f>'Mensual 2025'!F167</f>
        <v>0.38060907053400006</v>
      </c>
      <c r="F78" s="8">
        <f>'Mensual 2025'!G167</f>
        <v>9.774368604E-2</v>
      </c>
      <c r="G78" s="8">
        <f>'Mensual 2025'!H167</f>
        <v>0.13791025294200002</v>
      </c>
      <c r="H78" s="8">
        <f>'Mensual 2025'!I167</f>
        <v>9.5752681794000011E-2</v>
      </c>
      <c r="I78" s="8">
        <f>'Mensual 2025'!J167</f>
        <v>9.3317648885999999E-2</v>
      </c>
      <c r="J78" s="8">
        <f>'Mensual 2025'!K167</f>
        <v>3.3317164188000001E-2</v>
      </c>
      <c r="K78" s="8">
        <f>'Mensual 2025'!L167</f>
        <v>0.11138874516000002</v>
      </c>
      <c r="L78" s="8">
        <f>'Mensual 2025'!M167</f>
        <v>0.10741993416000001</v>
      </c>
      <c r="M78" s="8">
        <f>'Mensual 2025'!N167</f>
        <v>0.206329303026</v>
      </c>
      <c r="N78" s="8">
        <f t="shared" si="15"/>
        <v>2.7452586060900006</v>
      </c>
      <c r="O78" s="9">
        <v>93.93</v>
      </c>
    </row>
    <row r="79" spans="1:15" ht="15" customHeight="1" x14ac:dyDescent="0.25">
      <c r="A79" s="2" t="s">
        <v>23</v>
      </c>
      <c r="B79" s="8">
        <f>'Mensual 2025'!C168</f>
        <v>3.2264789684399997E-3</v>
      </c>
      <c r="C79" s="8">
        <f>'Mensual 2025'!D168</f>
        <v>1.4021374852800001E-3</v>
      </c>
      <c r="D79" s="8">
        <f>'Mensual 2025'!E168</f>
        <v>1.6564082950800002E-3</v>
      </c>
      <c r="E79" s="8">
        <f>'Mensual 2025'!F168</f>
        <v>1.61470514772E-3</v>
      </c>
      <c r="F79" s="8">
        <f>'Mensual 2025'!G168</f>
        <v>4.146701832000001E-4</v>
      </c>
      <c r="G79" s="8">
        <f>'Mensual 2025'!H168</f>
        <v>5.8507380036000004E-4</v>
      </c>
      <c r="H79" s="8">
        <f>'Mensual 2025'!I168</f>
        <v>4.0622349852000006E-4</v>
      </c>
      <c r="I79" s="8">
        <f>'Mensual 2025'!J168</f>
        <v>3.9589305587999998E-4</v>
      </c>
      <c r="J79" s="8">
        <f>'Mensual 2025'!K168</f>
        <v>1.4134554504000003E-4</v>
      </c>
      <c r="K79" s="8">
        <f>'Mensual 2025'!L168</f>
        <v>4.7255831280000008E-4</v>
      </c>
      <c r="L79" s="8">
        <f>'Mensual 2025'!M168</f>
        <v>4.5572093280000006E-4</v>
      </c>
      <c r="M79" s="8">
        <f>'Mensual 2025'!N168</f>
        <v>8.7533643708000001E-4</v>
      </c>
      <c r="N79" s="8">
        <f t="shared" si="15"/>
        <v>1.1646551662200003E-2</v>
      </c>
      <c r="O79" s="18">
        <v>1.7000000000000001E-2</v>
      </c>
    </row>
    <row r="80" spans="1:15" ht="15" customHeight="1" x14ac:dyDescent="0.25">
      <c r="A80" s="2" t="s">
        <v>24</v>
      </c>
      <c r="B80" s="8">
        <f>'Mensual 2025'!C169</f>
        <v>37706.417809144303</v>
      </c>
      <c r="C80" s="8">
        <f>'Mensual 2025'!D169</f>
        <v>16386.154183237402</v>
      </c>
      <c r="D80" s="8">
        <f>'Mensual 2025'!E169</f>
        <v>19357.703505198082</v>
      </c>
      <c r="E80" s="8">
        <f>'Mensual 2025'!F169</f>
        <v>18870.337458900009</v>
      </c>
      <c r="F80" s="8">
        <f>'Mensual 2025'!G169</f>
        <v>4846.0651173230726</v>
      </c>
      <c r="G80" s="8">
        <f>'Mensual 2025'!H169</f>
        <v>6837.4960386692183</v>
      </c>
      <c r="H80" s="8">
        <f>'Mensual 2025'!I169</f>
        <v>4747.3524882430283</v>
      </c>
      <c r="I80" s="8">
        <f>'Mensual 2025'!J169</f>
        <v>4626.6252217251331</v>
      </c>
      <c r="J80" s="8">
        <f>'Mensual 2025'!K169</f>
        <v>1651.8422183660905</v>
      </c>
      <c r="K80" s="8">
        <f>'Mensual 2025'!L169</f>
        <v>5522.5778180839434</v>
      </c>
      <c r="L80" s="8">
        <f>'Mensual 2025'!M169</f>
        <v>5325.8068825528517</v>
      </c>
      <c r="M80" s="8">
        <f>'Mensual 2025'!N169</f>
        <v>10229.665757302151</v>
      </c>
      <c r="N80" s="8">
        <f t="shared" si="15"/>
        <v>136108.04449874529</v>
      </c>
      <c r="O80" s="19" t="s">
        <v>25</v>
      </c>
    </row>
    <row r="81" spans="1:15" ht="19.5" customHeight="1" x14ac:dyDescent="0.3">
      <c r="A81" s="11" t="s">
        <v>26</v>
      </c>
      <c r="B81" s="12">
        <f t="shared" ref="B81:O81" si="16">SUM(B74:B79)</f>
        <v>72.241259702504777</v>
      </c>
      <c r="C81" s="12">
        <f t="shared" si="16"/>
        <v>31.39403021173392</v>
      </c>
      <c r="D81" s="12">
        <f t="shared" si="16"/>
        <v>37.087184819343008</v>
      </c>
      <c r="E81" s="12">
        <f t="shared" si="16"/>
        <v>36.153446236722644</v>
      </c>
      <c r="F81" s="12">
        <f t="shared" si="16"/>
        <v>9.2845162446294456</v>
      </c>
      <c r="G81" s="12">
        <f t="shared" si="16"/>
        <v>13.099874126058227</v>
      </c>
      <c r="H81" s="12">
        <f t="shared" si="16"/>
        <v>9.0953939389948033</v>
      </c>
      <c r="I81" s="12">
        <f t="shared" si="16"/>
        <v>8.8640940616678829</v>
      </c>
      <c r="J81" s="12">
        <f t="shared" si="16"/>
        <v>3.1647440838468337</v>
      </c>
      <c r="K81" s="12">
        <f t="shared" si="16"/>
        <v>10.580638564046827</v>
      </c>
      <c r="L81" s="12">
        <f t="shared" si="16"/>
        <v>10.203647561412811</v>
      </c>
      <c r="M81" s="12">
        <f t="shared" si="16"/>
        <v>19.598890151370107</v>
      </c>
      <c r="N81" s="12">
        <f t="shared" si="16"/>
        <v>260.76771970233131</v>
      </c>
      <c r="O81" s="12">
        <f t="shared" si="16"/>
        <v>1303.2170000000001</v>
      </c>
    </row>
    <row r="82" spans="1:15" ht="15.75" customHeight="1" x14ac:dyDescent="0.25">
      <c r="A82" s="2"/>
      <c r="B82" s="2"/>
      <c r="C82" s="2"/>
      <c r="D82" s="2"/>
      <c r="E82" s="2"/>
      <c r="F82" s="2"/>
      <c r="G82" s="2"/>
      <c r="H82" s="9"/>
      <c r="I82" s="2"/>
      <c r="J82" s="2"/>
      <c r="K82" s="2"/>
      <c r="L82" s="2"/>
      <c r="M82" s="2"/>
      <c r="N82" s="2"/>
      <c r="O82" s="2"/>
    </row>
    <row r="83" spans="1:15" ht="18.75" customHeight="1" x14ac:dyDescent="0.3">
      <c r="A83" s="2"/>
      <c r="B83" s="7" t="s">
        <v>46</v>
      </c>
      <c r="C83" s="7" t="s">
        <v>46</v>
      </c>
      <c r="D83" s="7" t="s">
        <v>46</v>
      </c>
      <c r="E83" s="7" t="s">
        <v>46</v>
      </c>
      <c r="F83" s="7" t="s">
        <v>46</v>
      </c>
      <c r="G83" s="7" t="s">
        <v>46</v>
      </c>
      <c r="H83" s="7" t="s">
        <v>46</v>
      </c>
      <c r="I83" s="7" t="s">
        <v>46</v>
      </c>
      <c r="J83" s="7" t="s">
        <v>46</v>
      </c>
      <c r="K83" s="7" t="s">
        <v>46</v>
      </c>
      <c r="L83" s="7" t="s">
        <v>46</v>
      </c>
      <c r="M83" s="7" t="s">
        <v>46</v>
      </c>
      <c r="N83" s="7" t="s">
        <v>46</v>
      </c>
      <c r="O83" s="7" t="s">
        <v>46</v>
      </c>
    </row>
    <row r="84" spans="1:15" ht="15" customHeight="1" x14ac:dyDescent="0.25">
      <c r="A84" s="2" t="s">
        <v>17</v>
      </c>
      <c r="B84" s="8">
        <f>'Mensual 2025'!C111</f>
        <v>0.30257519544000006</v>
      </c>
      <c r="C84" s="8">
        <f>'Mensual 2025'!D111</f>
        <v>0.29507679432</v>
      </c>
      <c r="D84" s="8">
        <f>'Mensual 2025'!E111</f>
        <v>0.60696708912000008</v>
      </c>
      <c r="E84" s="8">
        <f>'Mensual 2025'!F111</f>
        <v>0.73117444176000013</v>
      </c>
      <c r="F84" s="8">
        <f>'Mensual 2025'!G111</f>
        <v>0.30830488920000004</v>
      </c>
      <c r="G84" s="8">
        <f>'Mensual 2025'!H111</f>
        <v>0.51442641432000002</v>
      </c>
      <c r="H84" s="8">
        <f>'Mensual 2025'!I111</f>
        <v>0.31030416144</v>
      </c>
      <c r="I84" s="8">
        <f>'Mensual 2025'!J111</f>
        <v>0.51264657864000007</v>
      </c>
      <c r="J84" s="8">
        <f>'Mensual 2025'!K111</f>
        <v>0.31078998216000009</v>
      </c>
      <c r="K84" s="8">
        <f>'Mensual 2025'!L111</f>
        <v>0.75073872384000007</v>
      </c>
      <c r="L84" s="8">
        <f>'Mensual 2025'!M111</f>
        <v>0.48101259024000015</v>
      </c>
      <c r="M84" s="8">
        <f>'Mensual 2025'!N111</f>
        <v>0.28938744072000006</v>
      </c>
      <c r="N84" s="8">
        <f t="shared" ref="N84:N90" si="17">SUM(B84:M84)</f>
        <v>5.4134043011999999</v>
      </c>
      <c r="O84" s="9">
        <v>9.41</v>
      </c>
    </row>
    <row r="85" spans="1:15" ht="15" customHeight="1" x14ac:dyDescent="0.25">
      <c r="A85" s="2" t="s">
        <v>41</v>
      </c>
      <c r="B85" s="8">
        <f>'Mensual 2025'!C112</f>
        <v>0.25466745616199998</v>
      </c>
      <c r="C85" s="8">
        <f>'Mensual 2025'!D112</f>
        <v>0.248356301886</v>
      </c>
      <c r="D85" s="8">
        <f>'Mensual 2025'!E112</f>
        <v>0.51086396667599998</v>
      </c>
      <c r="E85" s="8">
        <f>'Mensual 2025'!F112</f>
        <v>0.61540515514799998</v>
      </c>
      <c r="F85" s="8">
        <f>'Mensual 2025'!G112</f>
        <v>0.25948994841</v>
      </c>
      <c r="G85" s="8">
        <f>'Mensual 2025'!H112</f>
        <v>0.43297556538600002</v>
      </c>
      <c r="H85" s="8">
        <f>'Mensual 2025'!I112</f>
        <v>0.26117266921200005</v>
      </c>
      <c r="I85" s="8">
        <f>'Mensual 2025'!J112</f>
        <v>0.43147753702199998</v>
      </c>
      <c r="J85" s="8">
        <f>'Mensual 2025'!K112</f>
        <v>0.261581568318</v>
      </c>
      <c r="K85" s="8">
        <f>'Mensual 2025'!L112</f>
        <v>0.63187175923200001</v>
      </c>
      <c r="L85" s="8">
        <f>'Mensual 2025'!M112</f>
        <v>0.40485226345199998</v>
      </c>
      <c r="M85" s="8">
        <f>'Mensual 2025'!N112</f>
        <v>0.24356776260600005</v>
      </c>
      <c r="N85" s="8">
        <f t="shared" si="17"/>
        <v>4.5562819535100001</v>
      </c>
      <c r="O85" s="9">
        <v>395.87</v>
      </c>
    </row>
    <row r="86" spans="1:15" ht="15" customHeight="1" x14ac:dyDescent="0.25">
      <c r="A86" s="2" t="s">
        <v>20</v>
      </c>
      <c r="B86" s="8">
        <f>'Mensual 2025'!C113</f>
        <v>22.188847665600004</v>
      </c>
      <c r="C86" s="8">
        <f>'Mensual 2025'!D113</f>
        <v>21.638964916800003</v>
      </c>
      <c r="D86" s="8">
        <f>'Mensual 2025'!E113</f>
        <v>44.510919868800002</v>
      </c>
      <c r="E86" s="8">
        <f>'Mensual 2025'!F113</f>
        <v>53.619459062400011</v>
      </c>
      <c r="F86" s="8">
        <f>'Mensual 2025'!G113</f>
        <v>22.609025208000002</v>
      </c>
      <c r="G86" s="8">
        <f>'Mensual 2025'!H113</f>
        <v>37.724603716800004</v>
      </c>
      <c r="H86" s="8">
        <f>'Mensual 2025'!I113</f>
        <v>22.755638505600004</v>
      </c>
      <c r="I86" s="8">
        <f>'Mensual 2025'!J113</f>
        <v>37.594082433600008</v>
      </c>
      <c r="J86" s="8">
        <f>'Mensual 2025'!K113</f>
        <v>22.7912653584</v>
      </c>
      <c r="K86" s="8">
        <f>'Mensual 2025'!L113</f>
        <v>55.054173081600013</v>
      </c>
      <c r="L86" s="8">
        <f>'Mensual 2025'!M113</f>
        <v>35.274256617600003</v>
      </c>
      <c r="M86" s="8">
        <f>'Mensual 2025'!N113</f>
        <v>21.221745652800003</v>
      </c>
      <c r="N86" s="8">
        <f t="shared" si="17"/>
        <v>396.98298208800009</v>
      </c>
      <c r="O86" s="9">
        <v>689.83</v>
      </c>
    </row>
    <row r="87" spans="1:15" ht="15" customHeight="1" x14ac:dyDescent="0.25">
      <c r="A87" s="2" t="s">
        <v>22</v>
      </c>
      <c r="B87" s="8">
        <f>'Mensual 2025'!C114</f>
        <v>1.0337985844200001E-2</v>
      </c>
      <c r="C87" s="8">
        <f>'Mensual 2025'!D114</f>
        <v>1.0081790472600001E-2</v>
      </c>
      <c r="D87" s="8">
        <f>'Mensual 2025'!E114</f>
        <v>2.07380422116E-2</v>
      </c>
      <c r="E87" s="8">
        <f>'Mensual 2025'!F114</f>
        <v>2.49817934268E-2</v>
      </c>
      <c r="F87" s="8">
        <f>'Mensual 2025'!G114</f>
        <v>1.0533750381000002E-2</v>
      </c>
      <c r="G87" s="8">
        <f>'Mensual 2025'!H114</f>
        <v>1.7576235822599998E-2</v>
      </c>
      <c r="H87" s="8">
        <f>'Mensual 2025'!I114</f>
        <v>1.0602058849200001E-2</v>
      </c>
      <c r="I87" s="8">
        <f>'Mensual 2025'!J114</f>
        <v>1.7515424770200006E-2</v>
      </c>
      <c r="J87" s="8">
        <f>'Mensual 2025'!K114</f>
        <v>1.0618657723799999E-2</v>
      </c>
      <c r="K87" s="8">
        <f>'Mensual 2025'!L114</f>
        <v>2.5650239731200002E-2</v>
      </c>
      <c r="L87" s="8">
        <f>'Mensual 2025'!M114</f>
        <v>1.6434596833200001E-2</v>
      </c>
      <c r="M87" s="8">
        <f>'Mensual 2025'!N114</f>
        <v>9.8874042246000007E-3</v>
      </c>
      <c r="N87" s="8">
        <f t="shared" si="17"/>
        <v>0.18495798029100002</v>
      </c>
      <c r="O87" s="9">
        <v>0.32</v>
      </c>
    </row>
    <row r="88" spans="1:15" ht="15" customHeight="1" x14ac:dyDescent="0.25">
      <c r="A88" s="2" t="s">
        <v>21</v>
      </c>
      <c r="B88" s="8">
        <f>'Mensual 2025'!C115</f>
        <v>8.3208178746000006E-2</v>
      </c>
      <c r="C88" s="8">
        <f>'Mensual 2025'!D115</f>
        <v>8.1146118438000014E-2</v>
      </c>
      <c r="D88" s="8">
        <f>'Mensual 2025'!E115</f>
        <v>0.16691594950800001</v>
      </c>
      <c r="E88" s="8">
        <f>'Mensual 2025'!F115</f>
        <v>0.201072971484</v>
      </c>
      <c r="F88" s="8">
        <f>'Mensual 2025'!G115</f>
        <v>8.4783844530000013E-2</v>
      </c>
      <c r="G88" s="8">
        <f>'Mensual 2025'!H115</f>
        <v>0.14146726393799999</v>
      </c>
      <c r="H88" s="8">
        <f>'Mensual 2025'!I115</f>
        <v>8.5333644396000011E-2</v>
      </c>
      <c r="I88" s="8">
        <f>'Mensual 2025'!J115</f>
        <v>0.14097780912600003</v>
      </c>
      <c r="J88" s="8">
        <f>'Mensual 2025'!K115</f>
        <v>8.5467245093999999E-2</v>
      </c>
      <c r="K88" s="8">
        <f>'Mensual 2025'!L115</f>
        <v>0.20645314905600004</v>
      </c>
      <c r="L88" s="8">
        <f>'Mensual 2025'!M115</f>
        <v>0.13227846231599999</v>
      </c>
      <c r="M88" s="8">
        <f>'Mensual 2025'!N115</f>
        <v>7.9581546198000008E-2</v>
      </c>
      <c r="N88" s="8">
        <f t="shared" si="17"/>
        <v>1.48868618283</v>
      </c>
      <c r="O88" s="9">
        <v>2.59</v>
      </c>
    </row>
    <row r="89" spans="1:15" ht="15" customHeight="1" x14ac:dyDescent="0.25">
      <c r="A89" s="2" t="s">
        <v>23</v>
      </c>
      <c r="B89" s="8">
        <f>'Mensual 2025'!C116</f>
        <v>3.5300439468000002E-4</v>
      </c>
      <c r="C89" s="8">
        <f>'Mensual 2025'!D116</f>
        <v>3.4425626003999998E-4</v>
      </c>
      <c r="D89" s="8">
        <f>'Mensual 2025'!E116</f>
        <v>7.0812827063999992E-4</v>
      </c>
      <c r="E89" s="8">
        <f>'Mensual 2025'!F116</f>
        <v>8.5303684872000004E-4</v>
      </c>
      <c r="F89" s="8">
        <f>'Mensual 2025'!G116</f>
        <v>3.5968903740000004E-4</v>
      </c>
      <c r="G89" s="8">
        <f>'Mensual 2025'!H116</f>
        <v>6.0016415003999999E-4</v>
      </c>
      <c r="H89" s="8">
        <f>'Mensual 2025'!I116</f>
        <v>3.6202152168000006E-4</v>
      </c>
      <c r="I89" s="8">
        <f>'Mensual 2025'!J116</f>
        <v>5.9808767508000012E-4</v>
      </c>
      <c r="J89" s="8">
        <f>'Mensual 2025'!K116</f>
        <v>3.6258831252000001E-4</v>
      </c>
      <c r="K89" s="8">
        <f>'Mensual 2025'!L116</f>
        <v>8.7586184448000006E-4</v>
      </c>
      <c r="L89" s="8">
        <f>'Mensual 2025'!M116</f>
        <v>5.6118135528000009E-4</v>
      </c>
      <c r="M89" s="8">
        <f>'Mensual 2025'!N116</f>
        <v>3.3761868084000008E-4</v>
      </c>
      <c r="N89" s="8">
        <f t="shared" si="17"/>
        <v>6.3156383514000013E-3</v>
      </c>
      <c r="O89" s="18">
        <v>1.0999999999999999E-2</v>
      </c>
    </row>
    <row r="90" spans="1:15" ht="15" customHeight="1" x14ac:dyDescent="0.25">
      <c r="A90" s="2" t="s">
        <v>24</v>
      </c>
      <c r="B90" s="8">
        <f>'Mensual 2025'!C117</f>
        <v>4125.4046049783456</v>
      </c>
      <c r="C90" s="8">
        <f>'Mensual 2025'!D117</f>
        <v>4023.1690649320471</v>
      </c>
      <c r="D90" s="8">
        <f>'Mensual 2025'!E117</f>
        <v>8275.5786404919781</v>
      </c>
      <c r="E90" s="8">
        <f>'Mensual 2025'!F117</f>
        <v>9969.0604336974429</v>
      </c>
      <c r="F90" s="8">
        <f>'Mensual 2025'!G117</f>
        <v>4203.525037118352</v>
      </c>
      <c r="G90" s="8">
        <f>'Mensual 2025'!H117</f>
        <v>7013.8502115883366</v>
      </c>
      <c r="H90" s="8">
        <f>'Mensual 2025'!I117</f>
        <v>4230.7837385248167</v>
      </c>
      <c r="I90" s="8">
        <f>'Mensual 2025'!J117</f>
        <v>6989.5833766956121</v>
      </c>
      <c r="J90" s="8">
        <f>'Mensual 2025'!K117</f>
        <v>4237.4075697763074</v>
      </c>
      <c r="K90" s="8">
        <f>'Mensual 2025'!L117</f>
        <v>10235.805958784387</v>
      </c>
      <c r="L90" s="8">
        <f>'Mensual 2025'!M117</f>
        <v>6558.2757104164366</v>
      </c>
      <c r="M90" s="8">
        <f>'Mensual 2025'!N117</f>
        <v>3945.598643117863</v>
      </c>
      <c r="N90" s="8">
        <f t="shared" si="17"/>
        <v>73808.042990121932</v>
      </c>
      <c r="O90" s="19" t="s">
        <v>25</v>
      </c>
    </row>
    <row r="91" spans="1:15" ht="19.5" customHeight="1" x14ac:dyDescent="0.3">
      <c r="A91" s="11" t="s">
        <v>26</v>
      </c>
      <c r="B91" s="12">
        <f t="shared" ref="B91:O91" si="18">SUM(B84:B89)</f>
        <v>22.83998948618688</v>
      </c>
      <c r="C91" s="12">
        <f t="shared" si="18"/>
        <v>22.273970178176643</v>
      </c>
      <c r="D91" s="12">
        <f t="shared" si="18"/>
        <v>45.817113044586243</v>
      </c>
      <c r="E91" s="12">
        <f t="shared" si="18"/>
        <v>55.192946461067528</v>
      </c>
      <c r="F91" s="12">
        <f t="shared" si="18"/>
        <v>23.272497329558401</v>
      </c>
      <c r="G91" s="12">
        <f t="shared" si="18"/>
        <v>38.831649360416648</v>
      </c>
      <c r="H91" s="12">
        <f t="shared" si="18"/>
        <v>23.423413061018888</v>
      </c>
      <c r="I91" s="12">
        <f t="shared" si="18"/>
        <v>38.697297870833289</v>
      </c>
      <c r="J91" s="12">
        <f t="shared" si="18"/>
        <v>23.460085400008321</v>
      </c>
      <c r="K91" s="12">
        <f t="shared" si="18"/>
        <v>56.669762815303692</v>
      </c>
      <c r="L91" s="12">
        <f t="shared" si="18"/>
        <v>36.309395711796483</v>
      </c>
      <c r="M91" s="12">
        <f t="shared" si="18"/>
        <v>21.844507425229445</v>
      </c>
      <c r="N91" s="12">
        <f t="shared" si="18"/>
        <v>408.63262814418249</v>
      </c>
      <c r="O91" s="12">
        <f t="shared" si="18"/>
        <v>1098.0309999999999</v>
      </c>
    </row>
    <row r="92" spans="1:1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8.75" customHeight="1" x14ac:dyDescent="0.3">
      <c r="A93" s="2"/>
      <c r="B93" s="7" t="s">
        <v>47</v>
      </c>
      <c r="C93" s="7" t="s">
        <v>47</v>
      </c>
      <c r="D93" s="7" t="s">
        <v>47</v>
      </c>
      <c r="E93" s="7" t="s">
        <v>47</v>
      </c>
      <c r="F93" s="7" t="s">
        <v>47</v>
      </c>
      <c r="G93" s="7" t="s">
        <v>47</v>
      </c>
      <c r="H93" s="7" t="s">
        <v>47</v>
      </c>
      <c r="I93" s="7" t="s">
        <v>47</v>
      </c>
      <c r="J93" s="7" t="s">
        <v>47</v>
      </c>
      <c r="K93" s="7" t="s">
        <v>47</v>
      </c>
      <c r="L93" s="7" t="s">
        <v>47</v>
      </c>
      <c r="M93" s="7" t="s">
        <v>47</v>
      </c>
      <c r="N93" s="7" t="s">
        <v>47</v>
      </c>
      <c r="O93" s="7" t="s">
        <v>47</v>
      </c>
    </row>
    <row r="94" spans="1:15" ht="15" customHeight="1" x14ac:dyDescent="0.25">
      <c r="A94" s="2" t="s">
        <v>17</v>
      </c>
      <c r="B94" s="8">
        <f>'Mensual 2025'!C147</f>
        <v>0.1626525684</v>
      </c>
      <c r="C94" s="8">
        <f>'Mensual 2025'!D147</f>
        <v>0.11708800992000003</v>
      </c>
      <c r="D94" s="8">
        <f>'Mensual 2025'!E147</f>
        <v>0.32729015088000002</v>
      </c>
      <c r="E94" s="8">
        <f>'Mensual 2025'!F147</f>
        <v>0.47689998048000004</v>
      </c>
      <c r="F94" s="8">
        <f>'Mensual 2025'!G147</f>
        <v>0.17883140688000004</v>
      </c>
      <c r="G94" s="8">
        <f>'Mensual 2025'!H147</f>
        <v>0.28514163887999999</v>
      </c>
      <c r="H94" s="8">
        <f>'Mensual 2025'!I147</f>
        <v>0.30587335127999998</v>
      </c>
      <c r="I94" s="8">
        <f>'Mensual 2025'!J147</f>
        <v>0.28803152448000002</v>
      </c>
      <c r="J94" s="8">
        <f>'Mensual 2025'!K147</f>
        <v>0.13152839616000003</v>
      </c>
      <c r="K94" s="8">
        <f>'Mensual 2025'!L147</f>
        <v>0.453200832</v>
      </c>
      <c r="L94" s="8">
        <f>'Mensual 2025'!M147</f>
        <v>0.33039808199999998</v>
      </c>
      <c r="M94" s="8">
        <f>'Mensual 2025'!N147</f>
        <v>3.3374874960000009E-2</v>
      </c>
      <c r="N94" s="8">
        <f t="shared" ref="N94:N100" si="19">SUM(B94:M94)</f>
        <v>3.0903108163199997</v>
      </c>
      <c r="O94" s="9">
        <v>9.86</v>
      </c>
    </row>
    <row r="95" spans="1:15" ht="15" customHeight="1" x14ac:dyDescent="0.25">
      <c r="A95" s="2" t="s">
        <v>41</v>
      </c>
      <c r="B95" s="8">
        <f>'Mensual 2025'!C148</f>
        <v>0.13689924507000001</v>
      </c>
      <c r="C95" s="8">
        <f>'Mensual 2025'!D148</f>
        <v>9.8549075016000021E-2</v>
      </c>
      <c r="D95" s="8">
        <f>'Mensual 2025'!E148</f>
        <v>0.27546921032399996</v>
      </c>
      <c r="E95" s="8">
        <f>'Mensual 2025'!F148</f>
        <v>0.40139081690400003</v>
      </c>
      <c r="F95" s="8">
        <f>'Mensual 2025'!G148</f>
        <v>0.15051643412400001</v>
      </c>
      <c r="G95" s="8">
        <f>'Mensual 2025'!H148</f>
        <v>0.23999421272399998</v>
      </c>
      <c r="H95" s="8">
        <f>'Mensual 2025'!I148</f>
        <v>0.25744340399400006</v>
      </c>
      <c r="I95" s="8">
        <f>'Mensual 2025'!J148</f>
        <v>0.24242653310399997</v>
      </c>
      <c r="J95" s="8">
        <f>'Mensual 2025'!K148</f>
        <v>0.11070306676800001</v>
      </c>
      <c r="K95" s="8">
        <f>'Mensual 2025'!L148</f>
        <v>0.38144403360000001</v>
      </c>
      <c r="L95" s="8">
        <f>'Mensual 2025'!M148</f>
        <v>0.27808505235000003</v>
      </c>
      <c r="M95" s="8">
        <f>'Mensual 2025'!N148</f>
        <v>2.8090519758000001E-2</v>
      </c>
      <c r="N95" s="8">
        <f t="shared" si="19"/>
        <v>2.6010116037359996</v>
      </c>
      <c r="O95" s="9">
        <v>414.78</v>
      </c>
    </row>
    <row r="96" spans="1:15" ht="15" customHeight="1" x14ac:dyDescent="0.25">
      <c r="A96" s="2" t="s">
        <v>20</v>
      </c>
      <c r="B96" s="8">
        <f>'Mensual 2025'!C149</f>
        <v>11.927855015999999</v>
      </c>
      <c r="C96" s="8">
        <f>'Mensual 2025'!D149</f>
        <v>8.5864540608000013</v>
      </c>
      <c r="D96" s="8">
        <f>'Mensual 2025'!E149</f>
        <v>24.001277731199998</v>
      </c>
      <c r="E96" s="8">
        <f>'Mensual 2025'!F149</f>
        <v>34.972665235200004</v>
      </c>
      <c r="F96" s="8">
        <f>'Mensual 2025'!G149</f>
        <v>13.1143031712</v>
      </c>
      <c r="G96" s="8">
        <f>'Mensual 2025'!H149</f>
        <v>20.910386851199998</v>
      </c>
      <c r="H96" s="8">
        <f>'Mensual 2025'!I149</f>
        <v>22.430712427200003</v>
      </c>
      <c r="I96" s="8">
        <f>'Mensual 2025'!J149</f>
        <v>21.122311795200002</v>
      </c>
      <c r="J96" s="8">
        <f>'Mensual 2025'!K149</f>
        <v>9.6454157184000007</v>
      </c>
      <c r="K96" s="8">
        <f>'Mensual 2025'!L149</f>
        <v>33.234727680000006</v>
      </c>
      <c r="L96" s="8">
        <f>'Mensual 2025'!M149</f>
        <v>24.229192680000004</v>
      </c>
      <c r="M96" s="8">
        <f>'Mensual 2025'!N149</f>
        <v>2.4474908304</v>
      </c>
      <c r="N96" s="8">
        <f t="shared" si="19"/>
        <v>226.62279319680002</v>
      </c>
      <c r="O96" s="9">
        <v>722.78</v>
      </c>
    </row>
    <row r="97" spans="1:15" ht="15" customHeight="1" x14ac:dyDescent="0.25">
      <c r="A97" s="2" t="s">
        <v>22</v>
      </c>
      <c r="B97" s="8">
        <f>'Mensual 2025'!C150</f>
        <v>5.5572960869999998E-3</v>
      </c>
      <c r="C97" s="8">
        <f>'Mensual 2025'!D150</f>
        <v>4.0005070056E-3</v>
      </c>
      <c r="D97" s="8">
        <f>'Mensual 2025'!E150</f>
        <v>1.11824134884E-2</v>
      </c>
      <c r="E97" s="8">
        <f>'Mensual 2025'!F150</f>
        <v>1.6294082666400003E-2</v>
      </c>
      <c r="F97" s="8">
        <f>'Mensual 2025'!G150</f>
        <v>6.1100730683999998E-3</v>
      </c>
      <c r="G97" s="8">
        <f>'Mensual 2025'!H150</f>
        <v>9.7423393284000008E-3</v>
      </c>
      <c r="H97" s="8">
        <f>'Mensual 2025'!I150</f>
        <v>1.04506728354E-2</v>
      </c>
      <c r="I97" s="8">
        <f>'Mensual 2025'!J150</f>
        <v>9.8410770864000002E-3</v>
      </c>
      <c r="J97" s="8">
        <f>'Mensual 2025'!K150</f>
        <v>4.4938868688000006E-3</v>
      </c>
      <c r="K97" s="8">
        <f>'Mensual 2025'!L150</f>
        <v>1.5484361760000001E-2</v>
      </c>
      <c r="L97" s="8">
        <f>'Mensual 2025'!M150</f>
        <v>1.1288601135E-2</v>
      </c>
      <c r="M97" s="8">
        <f>'Mensual 2025'!N150</f>
        <v>1.1403082278E-3</v>
      </c>
      <c r="N97" s="8">
        <f t="shared" si="19"/>
        <v>0.1055856195576</v>
      </c>
      <c r="O97" s="9">
        <v>0.34</v>
      </c>
    </row>
    <row r="98" spans="1:15" ht="15" customHeight="1" x14ac:dyDescent="0.25">
      <c r="A98" s="2" t="s">
        <v>21</v>
      </c>
      <c r="B98" s="8">
        <f>'Mensual 2025'!C151</f>
        <v>4.4729456310000006E-2</v>
      </c>
      <c r="C98" s="8">
        <f>'Mensual 2025'!D151</f>
        <v>3.2199202728000004E-2</v>
      </c>
      <c r="D98" s="8">
        <f>'Mensual 2025'!E151</f>
        <v>9.0004791491999997E-2</v>
      </c>
      <c r="E98" s="8">
        <f>'Mensual 2025'!F151</f>
        <v>0.13114749463200001</v>
      </c>
      <c r="F98" s="8">
        <f>'Mensual 2025'!G151</f>
        <v>4.9178636891999999E-2</v>
      </c>
      <c r="G98" s="8">
        <f>'Mensual 2025'!H151</f>
        <v>7.8413950691999981E-2</v>
      </c>
      <c r="H98" s="8">
        <f>'Mensual 2025'!I151</f>
        <v>8.4115171602000008E-2</v>
      </c>
      <c r="I98" s="8">
        <f>'Mensual 2025'!J151</f>
        <v>7.9208669232000012E-2</v>
      </c>
      <c r="J98" s="8">
        <f>'Mensual 2025'!K151</f>
        <v>3.6170308944000001E-2</v>
      </c>
      <c r="K98" s="8">
        <f>'Mensual 2025'!L151</f>
        <v>0.12463022880000001</v>
      </c>
      <c r="L98" s="8">
        <f>'Mensual 2025'!M151</f>
        <v>9.0859472550000001E-2</v>
      </c>
      <c r="M98" s="8">
        <f>'Mensual 2025'!N151</f>
        <v>9.178090614E-3</v>
      </c>
      <c r="N98" s="8">
        <f t="shared" si="19"/>
        <v>0.8498354744879999</v>
      </c>
      <c r="O98" s="9">
        <v>2.71</v>
      </c>
    </row>
    <row r="99" spans="1:15" ht="15" customHeight="1" x14ac:dyDescent="0.25">
      <c r="A99" s="2" t="s">
        <v>23</v>
      </c>
      <c r="B99" s="8">
        <f>'Mensual 2025'!C152</f>
        <v>1.8976132980000001E-4</v>
      </c>
      <c r="C99" s="8">
        <f>'Mensual 2025'!D152</f>
        <v>1.3660267824000002E-4</v>
      </c>
      <c r="D99" s="8">
        <f>'Mensual 2025'!E152</f>
        <v>3.8183850936000005E-4</v>
      </c>
      <c r="E99" s="8">
        <f>'Mensual 2025'!F152</f>
        <v>5.5638331056000005E-4</v>
      </c>
      <c r="F99" s="8">
        <f>'Mensual 2025'!G152</f>
        <v>2.0863664136000002E-4</v>
      </c>
      <c r="G99" s="8">
        <f>'Mensual 2025'!H152</f>
        <v>3.3266524536E-4</v>
      </c>
      <c r="H99" s="8">
        <f>'Mensual 2025'!I152</f>
        <v>3.5685224316000001E-4</v>
      </c>
      <c r="I99" s="8">
        <f>'Mensual 2025'!J152</f>
        <v>3.3603677856E-4</v>
      </c>
      <c r="J99" s="8">
        <f>'Mensual 2025'!K152</f>
        <v>1.5344979552000003E-4</v>
      </c>
      <c r="K99" s="8">
        <f>'Mensual 2025'!L152</f>
        <v>5.2873430400000008E-4</v>
      </c>
      <c r="L99" s="8">
        <f>'Mensual 2025'!M152</f>
        <v>3.8546442899999999E-4</v>
      </c>
      <c r="M99" s="8">
        <f>'Mensual 2025'!N152</f>
        <v>3.8937354120000003E-5</v>
      </c>
      <c r="N99" s="8">
        <f t="shared" si="19"/>
        <v>3.6053626190399998E-3</v>
      </c>
      <c r="O99" s="18">
        <v>1.0999999999999999E-2</v>
      </c>
    </row>
    <row r="100" spans="1:15" ht="15" customHeight="1" x14ac:dyDescent="0.25">
      <c r="A100" s="2" t="s">
        <v>24</v>
      </c>
      <c r="B100" s="8">
        <f>'Mensual 2025'!C153</f>
        <v>2217.6558581186628</v>
      </c>
      <c r="C100" s="8">
        <f>'Mensual 2025'!D153</f>
        <v>1596.4144536345616</v>
      </c>
      <c r="D100" s="8">
        <f>'Mensual 2025'!E153</f>
        <v>4462.3760174424215</v>
      </c>
      <c r="E100" s="8">
        <f>'Mensual 2025'!F153</f>
        <v>6502.2031059925648</v>
      </c>
      <c r="F100" s="8">
        <f>'Mensual 2025'!G153</f>
        <v>2438.2431890515059</v>
      </c>
      <c r="G100" s="8">
        <f>'Mensual 2025'!H153</f>
        <v>3887.7100563251124</v>
      </c>
      <c r="H100" s="8">
        <f>'Mensual 2025'!I153</f>
        <v>4170.3726905826079</v>
      </c>
      <c r="I100" s="8">
        <f>'Mensual 2025'!J153</f>
        <v>3927.1116581145916</v>
      </c>
      <c r="J100" s="8">
        <f>'Mensual 2025'!K153</f>
        <v>1793.2991844054782</v>
      </c>
      <c r="K100" s="8">
        <f>'Mensual 2025'!L153</f>
        <v>6179.0815225088818</v>
      </c>
      <c r="L100" s="8">
        <f>'Mensual 2025'!M153</f>
        <v>4504.7505198723338</v>
      </c>
      <c r="M100" s="8">
        <f>'Mensual 2025'!N153</f>
        <v>455.04345671938296</v>
      </c>
      <c r="N100" s="8">
        <f t="shared" si="19"/>
        <v>42134.261712768108</v>
      </c>
      <c r="O100" s="19" t="s">
        <v>25</v>
      </c>
    </row>
    <row r="101" spans="1:15" ht="19.5" customHeight="1" x14ac:dyDescent="0.3">
      <c r="A101" s="11" t="s">
        <v>26</v>
      </c>
      <c r="B101" s="12">
        <f t="shared" ref="B101:O101" si="20">SUM(B94:B99)</f>
        <v>12.277883343196798</v>
      </c>
      <c r="C101" s="12">
        <f t="shared" si="20"/>
        <v>8.8384274581478408</v>
      </c>
      <c r="D101" s="12">
        <f t="shared" si="20"/>
        <v>24.705606135893756</v>
      </c>
      <c r="E101" s="12">
        <f t="shared" si="20"/>
        <v>35.998953993192963</v>
      </c>
      <c r="F101" s="12">
        <f t="shared" si="20"/>
        <v>13.499148358805762</v>
      </c>
      <c r="G101" s="12">
        <f t="shared" si="20"/>
        <v>21.524011658069757</v>
      </c>
      <c r="H101" s="12">
        <f t="shared" si="20"/>
        <v>23.088951879154564</v>
      </c>
      <c r="I101" s="12">
        <f t="shared" si="20"/>
        <v>21.742155635880959</v>
      </c>
      <c r="J101" s="12">
        <f t="shared" si="20"/>
        <v>9.9284648269363203</v>
      </c>
      <c r="K101" s="12">
        <f t="shared" si="20"/>
        <v>34.210015870464005</v>
      </c>
      <c r="L101" s="12">
        <f t="shared" si="20"/>
        <v>24.940209352464006</v>
      </c>
      <c r="M101" s="12">
        <f t="shared" si="20"/>
        <v>2.5193135613139206</v>
      </c>
      <c r="N101" s="12">
        <f t="shared" si="20"/>
        <v>233.27314207352063</v>
      </c>
      <c r="O101" s="12">
        <f t="shared" si="20"/>
        <v>1150.481</v>
      </c>
    </row>
    <row r="102" spans="1:1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8.75" customHeight="1" x14ac:dyDescent="0.3">
      <c r="A103" s="2"/>
      <c r="B103" s="7" t="s">
        <v>48</v>
      </c>
      <c r="C103" s="7" t="s">
        <v>48</v>
      </c>
      <c r="D103" s="7" t="s">
        <v>48</v>
      </c>
      <c r="E103" s="7" t="s">
        <v>48</v>
      </c>
      <c r="F103" s="7" t="s">
        <v>48</v>
      </c>
      <c r="G103" s="7" t="s">
        <v>48</v>
      </c>
      <c r="H103" s="7" t="s">
        <v>48</v>
      </c>
      <c r="I103" s="7" t="s">
        <v>48</v>
      </c>
      <c r="J103" s="7" t="s">
        <v>48</v>
      </c>
      <c r="K103" s="7" t="s">
        <v>48</v>
      </c>
      <c r="L103" s="7" t="s">
        <v>48</v>
      </c>
      <c r="M103" s="7" t="s">
        <v>48</v>
      </c>
      <c r="N103" s="7" t="s">
        <v>48</v>
      </c>
      <c r="O103" s="7" t="s">
        <v>48</v>
      </c>
    </row>
    <row r="104" spans="1:15" ht="15" customHeight="1" x14ac:dyDescent="0.25">
      <c r="A104" s="2" t="s">
        <v>17</v>
      </c>
      <c r="B104" s="8">
        <f>'Mensual 2025'!C135</f>
        <v>0</v>
      </c>
      <c r="C104" s="8">
        <f>'Mensual 2025'!D135</f>
        <v>0</v>
      </c>
      <c r="D104" s="8">
        <f>'Mensual 2025'!E135</f>
        <v>0</v>
      </c>
      <c r="E104" s="8">
        <f>'Mensual 2025'!F135</f>
        <v>0</v>
      </c>
      <c r="F104" s="8">
        <f>'Mensual 2025'!G135</f>
        <v>0</v>
      </c>
      <c r="G104" s="8">
        <f>'Mensual 2025'!H135</f>
        <v>0</v>
      </c>
      <c r="H104" s="8">
        <f>'Mensual 2025'!I135</f>
        <v>0</v>
      </c>
      <c r="I104" s="8">
        <f>'Mensual 2025'!J135</f>
        <v>0</v>
      </c>
      <c r="J104" s="8">
        <f>'Mensual 2025'!K135</f>
        <v>0</v>
      </c>
      <c r="K104" s="8">
        <f>'Mensual 2025'!L135</f>
        <v>0</v>
      </c>
      <c r="L104" s="8">
        <f>'Mensual 2025'!M135</f>
        <v>0</v>
      </c>
      <c r="M104" s="8">
        <f>'Mensual 2025'!N135</f>
        <v>0</v>
      </c>
      <c r="N104" s="8">
        <f t="shared" ref="N104:N110" si="21">SUM(B104:M104)</f>
        <v>0</v>
      </c>
      <c r="O104" s="9">
        <v>9.41</v>
      </c>
    </row>
    <row r="105" spans="1:15" ht="15" customHeight="1" x14ac:dyDescent="0.25">
      <c r="A105" s="2" t="s">
        <v>41</v>
      </c>
      <c r="B105" s="8">
        <f>'Mensual 2025'!C136</f>
        <v>0</v>
      </c>
      <c r="C105" s="8">
        <f>'Mensual 2025'!D136</f>
        <v>0</v>
      </c>
      <c r="D105" s="8">
        <f>'Mensual 2025'!E136</f>
        <v>0</v>
      </c>
      <c r="E105" s="8">
        <f>'Mensual 2025'!F136</f>
        <v>0</v>
      </c>
      <c r="F105" s="8">
        <f>'Mensual 2025'!G136</f>
        <v>0</v>
      </c>
      <c r="G105" s="8">
        <f>'Mensual 2025'!H136</f>
        <v>0</v>
      </c>
      <c r="H105" s="8">
        <f>'Mensual 2025'!I136</f>
        <v>0</v>
      </c>
      <c r="I105" s="8">
        <f>'Mensual 2025'!J136</f>
        <v>0</v>
      </c>
      <c r="J105" s="8">
        <f>'Mensual 2025'!K136</f>
        <v>0</v>
      </c>
      <c r="K105" s="8">
        <f>'Mensual 2025'!L136</f>
        <v>0</v>
      </c>
      <c r="L105" s="8">
        <f>'Mensual 2025'!M136</f>
        <v>0</v>
      </c>
      <c r="M105" s="8">
        <f>'Mensual 2025'!N136</f>
        <v>0</v>
      </c>
      <c r="N105" s="8">
        <f t="shared" si="21"/>
        <v>0</v>
      </c>
      <c r="O105" s="9">
        <v>395.87</v>
      </c>
    </row>
    <row r="106" spans="1:15" ht="15" customHeight="1" x14ac:dyDescent="0.25">
      <c r="A106" s="2" t="s">
        <v>20</v>
      </c>
      <c r="B106" s="8">
        <f>'Mensual 2025'!C137</f>
        <v>0</v>
      </c>
      <c r="C106" s="8">
        <f>'Mensual 2025'!D137</f>
        <v>0</v>
      </c>
      <c r="D106" s="8">
        <f>'Mensual 2025'!E137</f>
        <v>0</v>
      </c>
      <c r="E106" s="8">
        <f>'Mensual 2025'!F137</f>
        <v>0</v>
      </c>
      <c r="F106" s="8">
        <f>'Mensual 2025'!G137</f>
        <v>0</v>
      </c>
      <c r="G106" s="8">
        <f>'Mensual 2025'!H137</f>
        <v>0</v>
      </c>
      <c r="H106" s="8">
        <f>'Mensual 2025'!I137</f>
        <v>0</v>
      </c>
      <c r="I106" s="8">
        <f>'Mensual 2025'!J137</f>
        <v>0</v>
      </c>
      <c r="J106" s="8">
        <f>'Mensual 2025'!K137</f>
        <v>0</v>
      </c>
      <c r="K106" s="8">
        <f>'Mensual 2025'!L137</f>
        <v>0</v>
      </c>
      <c r="L106" s="8">
        <f>'Mensual 2025'!M137</f>
        <v>0</v>
      </c>
      <c r="M106" s="8">
        <f>'Mensual 2025'!N137</f>
        <v>0</v>
      </c>
      <c r="N106" s="8">
        <f t="shared" si="21"/>
        <v>0</v>
      </c>
      <c r="O106" s="9">
        <v>689.83</v>
      </c>
    </row>
    <row r="107" spans="1:15" ht="15" customHeight="1" x14ac:dyDescent="0.25">
      <c r="A107" s="2" t="s">
        <v>22</v>
      </c>
      <c r="B107" s="8">
        <f>'Mensual 2025'!C138</f>
        <v>0</v>
      </c>
      <c r="C107" s="8">
        <f>'Mensual 2025'!D138</f>
        <v>0</v>
      </c>
      <c r="D107" s="8">
        <f>'Mensual 2025'!E138</f>
        <v>0</v>
      </c>
      <c r="E107" s="8">
        <f>'Mensual 2025'!F138</f>
        <v>0</v>
      </c>
      <c r="F107" s="8">
        <f>'Mensual 2025'!G138</f>
        <v>0</v>
      </c>
      <c r="G107" s="8">
        <f>'Mensual 2025'!H138</f>
        <v>0</v>
      </c>
      <c r="H107" s="8">
        <f>'Mensual 2025'!I138</f>
        <v>0</v>
      </c>
      <c r="I107" s="8">
        <f>'Mensual 2025'!J138</f>
        <v>0</v>
      </c>
      <c r="J107" s="8">
        <f>'Mensual 2025'!K138</f>
        <v>0</v>
      </c>
      <c r="K107" s="8">
        <f>'Mensual 2025'!L138</f>
        <v>0</v>
      </c>
      <c r="L107" s="8">
        <f>'Mensual 2025'!M138</f>
        <v>0</v>
      </c>
      <c r="M107" s="8">
        <f>'Mensual 2025'!N138</f>
        <v>0</v>
      </c>
      <c r="N107" s="8">
        <f t="shared" si="21"/>
        <v>0</v>
      </c>
      <c r="O107" s="9">
        <v>0.32</v>
      </c>
    </row>
    <row r="108" spans="1:15" ht="15" customHeight="1" x14ac:dyDescent="0.25">
      <c r="A108" s="2" t="s">
        <v>21</v>
      </c>
      <c r="B108" s="8">
        <f>'Mensual 2025'!C139</f>
        <v>0</v>
      </c>
      <c r="C108" s="8">
        <f>'Mensual 2025'!D139</f>
        <v>0</v>
      </c>
      <c r="D108" s="8">
        <f>'Mensual 2025'!E139</f>
        <v>0</v>
      </c>
      <c r="E108" s="8">
        <f>'Mensual 2025'!F139</f>
        <v>0</v>
      </c>
      <c r="F108" s="8">
        <f>'Mensual 2025'!G139</f>
        <v>0</v>
      </c>
      <c r="G108" s="8">
        <f>'Mensual 2025'!H139</f>
        <v>0</v>
      </c>
      <c r="H108" s="8">
        <f>'Mensual 2025'!I139</f>
        <v>0</v>
      </c>
      <c r="I108" s="8">
        <f>'Mensual 2025'!J139</f>
        <v>0</v>
      </c>
      <c r="J108" s="8">
        <f>'Mensual 2025'!K139</f>
        <v>0</v>
      </c>
      <c r="K108" s="8">
        <f>'Mensual 2025'!L139</f>
        <v>0</v>
      </c>
      <c r="L108" s="8">
        <f>'Mensual 2025'!M139</f>
        <v>0</v>
      </c>
      <c r="M108" s="8">
        <f>'Mensual 2025'!N139</f>
        <v>0</v>
      </c>
      <c r="N108" s="8">
        <f t="shared" si="21"/>
        <v>0</v>
      </c>
      <c r="O108" s="9">
        <v>2.59</v>
      </c>
    </row>
    <row r="109" spans="1:15" ht="15" customHeight="1" x14ac:dyDescent="0.25">
      <c r="A109" s="2" t="s">
        <v>23</v>
      </c>
      <c r="B109" s="8">
        <f>'Mensual 2025'!C140</f>
        <v>0</v>
      </c>
      <c r="C109" s="8">
        <f>'Mensual 2025'!D140</f>
        <v>0</v>
      </c>
      <c r="D109" s="8">
        <f>'Mensual 2025'!E140</f>
        <v>0</v>
      </c>
      <c r="E109" s="8">
        <f>'Mensual 2025'!F140</f>
        <v>0</v>
      </c>
      <c r="F109" s="8">
        <f>'Mensual 2025'!G140</f>
        <v>0</v>
      </c>
      <c r="G109" s="8">
        <f>'Mensual 2025'!H140</f>
        <v>0</v>
      </c>
      <c r="H109" s="8">
        <f>'Mensual 2025'!I140</f>
        <v>0</v>
      </c>
      <c r="I109" s="8">
        <f>'Mensual 2025'!J140</f>
        <v>0</v>
      </c>
      <c r="J109" s="8">
        <f>'Mensual 2025'!K140</f>
        <v>0</v>
      </c>
      <c r="K109" s="8">
        <f>'Mensual 2025'!L140</f>
        <v>0</v>
      </c>
      <c r="L109" s="8">
        <f>'Mensual 2025'!M140</f>
        <v>0</v>
      </c>
      <c r="M109" s="8">
        <f>'Mensual 2025'!N140</f>
        <v>0</v>
      </c>
      <c r="N109" s="8">
        <f t="shared" si="21"/>
        <v>0</v>
      </c>
      <c r="O109" s="18">
        <v>1.0999999999999999E-2</v>
      </c>
    </row>
    <row r="110" spans="1:15" ht="15" customHeight="1" x14ac:dyDescent="0.25">
      <c r="A110" s="2" t="s">
        <v>24</v>
      </c>
      <c r="B110" s="8">
        <f>'Mensual 2025'!C141</f>
        <v>0</v>
      </c>
      <c r="C110" s="8">
        <f>'Mensual 2025'!D141</f>
        <v>0</v>
      </c>
      <c r="D110" s="8">
        <f>'Mensual 2025'!E141</f>
        <v>0</v>
      </c>
      <c r="E110" s="8">
        <f>'Mensual 2025'!F141</f>
        <v>0</v>
      </c>
      <c r="F110" s="8">
        <f>'Mensual 2025'!G141</f>
        <v>0</v>
      </c>
      <c r="G110" s="8">
        <f>'Mensual 2025'!H141</f>
        <v>0</v>
      </c>
      <c r="H110" s="8">
        <f>'Mensual 2025'!I141</f>
        <v>0</v>
      </c>
      <c r="I110" s="8">
        <f>'Mensual 2025'!J141</f>
        <v>0</v>
      </c>
      <c r="J110" s="8">
        <f>'Mensual 2025'!K141</f>
        <v>0</v>
      </c>
      <c r="K110" s="8">
        <f>'Mensual 2025'!L141</f>
        <v>0</v>
      </c>
      <c r="L110" s="8">
        <f>'Mensual 2025'!M141</f>
        <v>0</v>
      </c>
      <c r="M110" s="8">
        <f>'Mensual 2025'!N141</f>
        <v>0</v>
      </c>
      <c r="N110" s="8">
        <f t="shared" si="21"/>
        <v>0</v>
      </c>
      <c r="O110" s="19" t="s">
        <v>25</v>
      </c>
    </row>
    <row r="111" spans="1:15" ht="19.5" customHeight="1" x14ac:dyDescent="0.3">
      <c r="A111" s="11" t="s">
        <v>26</v>
      </c>
      <c r="B111" s="12">
        <f t="shared" ref="B111:O111" si="22">SUM(B104:B109)</f>
        <v>0</v>
      </c>
      <c r="C111" s="12">
        <f t="shared" si="22"/>
        <v>0</v>
      </c>
      <c r="D111" s="12">
        <f t="shared" si="22"/>
        <v>0</v>
      </c>
      <c r="E111" s="12">
        <f t="shared" si="22"/>
        <v>0</v>
      </c>
      <c r="F111" s="12">
        <f t="shared" si="22"/>
        <v>0</v>
      </c>
      <c r="G111" s="12">
        <f t="shared" si="22"/>
        <v>0</v>
      </c>
      <c r="H111" s="12">
        <f t="shared" si="22"/>
        <v>0</v>
      </c>
      <c r="I111" s="12">
        <f t="shared" si="22"/>
        <v>0</v>
      </c>
      <c r="J111" s="12">
        <f t="shared" si="22"/>
        <v>0</v>
      </c>
      <c r="K111" s="12">
        <f t="shared" si="22"/>
        <v>0</v>
      </c>
      <c r="L111" s="12">
        <f t="shared" si="22"/>
        <v>0</v>
      </c>
      <c r="M111" s="12">
        <f t="shared" si="22"/>
        <v>0</v>
      </c>
      <c r="N111" s="12">
        <f t="shared" si="22"/>
        <v>0</v>
      </c>
      <c r="O111" s="12">
        <f t="shared" si="22"/>
        <v>1098.0309999999999</v>
      </c>
    </row>
    <row r="112" spans="1:1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8.75" customHeight="1" x14ac:dyDescent="0.3">
      <c r="A113" s="2"/>
      <c r="B113" s="7" t="s">
        <v>49</v>
      </c>
      <c r="C113" s="7" t="s">
        <v>49</v>
      </c>
      <c r="D113" s="7" t="s">
        <v>49</v>
      </c>
      <c r="E113" s="7" t="s">
        <v>49</v>
      </c>
      <c r="F113" s="7" t="s">
        <v>49</v>
      </c>
      <c r="G113" s="7" t="s">
        <v>49</v>
      </c>
      <c r="H113" s="7" t="s">
        <v>49</v>
      </c>
      <c r="I113" s="7" t="s">
        <v>49</v>
      </c>
      <c r="J113" s="7" t="s">
        <v>49</v>
      </c>
      <c r="K113" s="7" t="s">
        <v>49</v>
      </c>
      <c r="L113" s="7" t="s">
        <v>49</v>
      </c>
      <c r="M113" s="7" t="s">
        <v>49</v>
      </c>
      <c r="N113" s="7" t="s">
        <v>49</v>
      </c>
      <c r="O113" s="7" t="s">
        <v>49</v>
      </c>
    </row>
    <row r="114" spans="1:15" ht="15" customHeight="1" x14ac:dyDescent="0.25">
      <c r="A114" s="2" t="s">
        <v>17</v>
      </c>
      <c r="B114" s="8">
        <f>'Mensual 2025'!C123</f>
        <v>0.14819792400000001</v>
      </c>
      <c r="C114" s="8">
        <f>'Mensual 2025'!D123</f>
        <v>0.10435547304000001</v>
      </c>
      <c r="D114" s="8">
        <f>'Mensual 2025'!E123</f>
        <v>0.24723997200000003</v>
      </c>
      <c r="E114" s="8">
        <f>'Mensual 2025'!F123</f>
        <v>0.31781299536000007</v>
      </c>
      <c r="F114" s="8">
        <f>'Mensual 2025'!G123</f>
        <v>0.13175548344000004</v>
      </c>
      <c r="G114" s="8">
        <f>'Mensual 2025'!H123</f>
        <v>0.18674468567999999</v>
      </c>
      <c r="H114" s="8">
        <f>'Mensual 2025'!I123</f>
        <v>0.17666694864000004</v>
      </c>
      <c r="I114" s="8">
        <f>'Mensual 2025'!J123</f>
        <v>0.25393782960000005</v>
      </c>
      <c r="J114" s="8">
        <f>'Mensual 2025'!K123</f>
        <v>0.10231273080000002</v>
      </c>
      <c r="K114" s="8">
        <f>'Mensual 2025'!L123</f>
        <v>0.34023586464000005</v>
      </c>
      <c r="L114" s="8">
        <f>'Mensual 2025'!M123</f>
        <v>0.28039610592000003</v>
      </c>
      <c r="M114" s="8">
        <f>'Mensual 2025'!N123</f>
        <v>0.15399369216000003</v>
      </c>
      <c r="N114" s="8">
        <f t="shared" ref="N114:N120" si="23">SUM(B114:M114)</f>
        <v>2.4436497052800004</v>
      </c>
      <c r="O114" s="9">
        <v>9.41</v>
      </c>
    </row>
    <row r="115" spans="1:15" ht="15" customHeight="1" x14ac:dyDescent="0.25">
      <c r="A115" s="2" t="s">
        <v>41</v>
      </c>
      <c r="B115" s="8">
        <f>'Mensual 2025'!C124</f>
        <v>0.12473325270000001</v>
      </c>
      <c r="C115" s="8">
        <f>'Mensual 2025'!D124</f>
        <v>8.7832523142000005E-2</v>
      </c>
      <c r="D115" s="8">
        <f>'Mensual 2025'!E124</f>
        <v>0.2080936431</v>
      </c>
      <c r="E115" s="8">
        <f>'Mensual 2025'!F124</f>
        <v>0.26749260442799999</v>
      </c>
      <c r="F115" s="8">
        <f>'Mensual 2025'!G124</f>
        <v>0.11089419856200002</v>
      </c>
      <c r="G115" s="8">
        <f>'Mensual 2025'!H124</f>
        <v>0.15717677711399999</v>
      </c>
      <c r="H115" s="8">
        <f>'Mensual 2025'!I124</f>
        <v>0.14869468177199999</v>
      </c>
      <c r="I115" s="8">
        <f>'Mensual 2025'!J124</f>
        <v>0.21373100658000002</v>
      </c>
      <c r="J115" s="8">
        <f>'Mensual 2025'!K124</f>
        <v>8.6113215090000014E-2</v>
      </c>
      <c r="K115" s="8">
        <f>'Mensual 2025'!L124</f>
        <v>0.28636518607200001</v>
      </c>
      <c r="L115" s="8">
        <f>'Mensual 2025'!M124</f>
        <v>0.236000055816</v>
      </c>
      <c r="M115" s="8">
        <f>'Mensual 2025'!N124</f>
        <v>0.12961135756800002</v>
      </c>
      <c r="N115" s="8">
        <f t="shared" si="23"/>
        <v>2.0567385019440003</v>
      </c>
      <c r="O115" s="9">
        <v>395.87</v>
      </c>
    </row>
    <row r="116" spans="1:15" ht="15" customHeight="1" x14ac:dyDescent="0.25">
      <c r="A116" s="2" t="s">
        <v>20</v>
      </c>
      <c r="B116" s="8">
        <f>'Mensual 2025'!C125</f>
        <v>10.86784776</v>
      </c>
      <c r="C116" s="8">
        <f>'Mensual 2025'!D125</f>
        <v>7.6527346895999999</v>
      </c>
      <c r="D116" s="8">
        <f>'Mensual 2025'!E125</f>
        <v>18.130931280000002</v>
      </c>
      <c r="E116" s="8">
        <f>'Mensual 2025'!F125</f>
        <v>23.306286326400002</v>
      </c>
      <c r="F116" s="8">
        <f>'Mensual 2025'!G125</f>
        <v>9.6620687856000025</v>
      </c>
      <c r="G116" s="8">
        <f>'Mensual 2025'!H125</f>
        <v>13.694610283200001</v>
      </c>
      <c r="H116" s="8">
        <f>'Mensual 2025'!I125</f>
        <v>12.9555762336</v>
      </c>
      <c r="I116" s="8">
        <f>'Mensual 2025'!J125</f>
        <v>18.622107504000002</v>
      </c>
      <c r="J116" s="8">
        <f>'Mensual 2025'!K125</f>
        <v>7.5029335920000015</v>
      </c>
      <c r="K116" s="8">
        <f>'Mensual 2025'!L125</f>
        <v>24.950630073600003</v>
      </c>
      <c r="L116" s="8">
        <f>'Mensual 2025'!M125</f>
        <v>20.5623811008</v>
      </c>
      <c r="M116" s="8">
        <f>'Mensual 2025'!N125</f>
        <v>11.292870758400003</v>
      </c>
      <c r="N116" s="8">
        <f t="shared" si="23"/>
        <v>179.2009783872</v>
      </c>
      <c r="O116" s="9">
        <v>689.83</v>
      </c>
    </row>
    <row r="117" spans="1:15" ht="15" customHeight="1" x14ac:dyDescent="0.25">
      <c r="A117" s="2" t="s">
        <v>22</v>
      </c>
      <c r="B117" s="8">
        <f>'Mensual 2025'!C126</f>
        <v>5.063429070000001E-3</v>
      </c>
      <c r="C117" s="8">
        <f>'Mensual 2025'!D126</f>
        <v>3.5654786621999997E-3</v>
      </c>
      <c r="D117" s="8">
        <f>'Mensual 2025'!E126</f>
        <v>8.4473657100000016E-3</v>
      </c>
      <c r="E117" s="8">
        <f>'Mensual 2025'!F126</f>
        <v>1.0858610674800002E-2</v>
      </c>
      <c r="F117" s="8">
        <f>'Mensual 2025'!G126</f>
        <v>4.5016456842000008E-3</v>
      </c>
      <c r="G117" s="8">
        <f>'Mensual 2025'!H126</f>
        <v>6.3804434274000003E-3</v>
      </c>
      <c r="H117" s="8">
        <f>'Mensual 2025'!I126</f>
        <v>6.0361207452000005E-3</v>
      </c>
      <c r="I117" s="8">
        <f>'Mensual 2025'!J126</f>
        <v>8.6762091780000009E-3</v>
      </c>
      <c r="J117" s="8">
        <f>'Mensual 2025'!K126</f>
        <v>3.4956849690000007E-3</v>
      </c>
      <c r="K117" s="8">
        <f>'Mensual 2025'!L126</f>
        <v>1.16247253752E-2</v>
      </c>
      <c r="L117" s="8">
        <f>'Mensual 2025'!M126</f>
        <v>9.5802002856000008E-3</v>
      </c>
      <c r="M117" s="8">
        <f>'Mensual 2025'!N126</f>
        <v>5.2614511488000013E-3</v>
      </c>
      <c r="N117" s="8">
        <f t="shared" si="23"/>
        <v>8.3491364930400006E-2</v>
      </c>
      <c r="O117" s="18">
        <v>0.32</v>
      </c>
    </row>
    <row r="118" spans="1:15" ht="15" customHeight="1" x14ac:dyDescent="0.25">
      <c r="A118" s="2" t="s">
        <v>21</v>
      </c>
      <c r="B118" s="8">
        <f>'Mensual 2025'!C127</f>
        <v>4.0754429100000003E-2</v>
      </c>
      <c r="C118" s="8">
        <f>'Mensual 2025'!D127</f>
        <v>2.8697755086000001E-2</v>
      </c>
      <c r="D118" s="8">
        <f>'Mensual 2025'!E127</f>
        <v>6.7990992299999997E-2</v>
      </c>
      <c r="E118" s="8">
        <f>'Mensual 2025'!F127</f>
        <v>8.7398573724000006E-2</v>
      </c>
      <c r="F118" s="8">
        <f>'Mensual 2025'!G127</f>
        <v>3.6232757946000005E-2</v>
      </c>
      <c r="G118" s="8">
        <f>'Mensual 2025'!H127</f>
        <v>5.1354788562000001E-2</v>
      </c>
      <c r="H118" s="8">
        <f>'Mensual 2025'!I127</f>
        <v>4.8583410876000002E-2</v>
      </c>
      <c r="I118" s="8">
        <f>'Mensual 2025'!J127</f>
        <v>6.9832903139999999E-2</v>
      </c>
      <c r="J118" s="8">
        <f>'Mensual 2025'!K127</f>
        <v>2.8136000970000005E-2</v>
      </c>
      <c r="K118" s="8">
        <f>'Mensual 2025'!L127</f>
        <v>9.3564862776000013E-2</v>
      </c>
      <c r="L118" s="8">
        <f>'Mensual 2025'!M127</f>
        <v>7.7108929128000006E-2</v>
      </c>
      <c r="M118" s="8">
        <f>'Mensual 2025'!N127</f>
        <v>4.2348265344000005E-2</v>
      </c>
      <c r="N118" s="8">
        <f t="shared" si="23"/>
        <v>0.67200366895200014</v>
      </c>
      <c r="O118" s="18">
        <v>2.59</v>
      </c>
    </row>
    <row r="119" spans="1:15" ht="15" customHeight="1" x14ac:dyDescent="0.25">
      <c r="A119" s="2" t="s">
        <v>23</v>
      </c>
      <c r="B119" s="8">
        <f>'Mensual 2025'!C128</f>
        <v>1.72897578E-4</v>
      </c>
      <c r="C119" s="8">
        <f>'Mensual 2025'!D128</f>
        <v>1.2174805188000001E-4</v>
      </c>
      <c r="D119" s="8">
        <f>'Mensual 2025'!E128</f>
        <v>2.8844663400000005E-4</v>
      </c>
      <c r="E119" s="8">
        <f>'Mensual 2025'!F128</f>
        <v>3.7078182792000001E-4</v>
      </c>
      <c r="F119" s="8">
        <f>'Mensual 2025'!G128</f>
        <v>1.5371473068000001E-4</v>
      </c>
      <c r="G119" s="8">
        <f>'Mensual 2025'!H128</f>
        <v>2.1786879996000001E-4</v>
      </c>
      <c r="H119" s="8">
        <f>'Mensual 2025'!I128</f>
        <v>2.0611144008000001E-4</v>
      </c>
      <c r="I119" s="8">
        <f>'Mensual 2025'!J128</f>
        <v>2.9626080120000002E-4</v>
      </c>
      <c r="J119" s="8">
        <f>'Mensual 2025'!K128</f>
        <v>1.193648526E-4</v>
      </c>
      <c r="K119" s="8">
        <f>'Mensual 2025'!L128</f>
        <v>3.9694184208000007E-4</v>
      </c>
      <c r="L119" s="8">
        <f>'Mensual 2025'!M128</f>
        <v>3.2712879024000005E-4</v>
      </c>
      <c r="M119" s="8">
        <f>'Mensual 2025'!N128</f>
        <v>1.7965930752000001E-4</v>
      </c>
      <c r="N119" s="8">
        <f t="shared" si="23"/>
        <v>2.8509246561599999E-3</v>
      </c>
      <c r="O119" s="20">
        <v>1.0999999999999999E-2</v>
      </c>
    </row>
    <row r="120" spans="1:15" ht="15" customHeight="1" x14ac:dyDescent="0.25">
      <c r="A120" s="2" t="s">
        <v>24</v>
      </c>
      <c r="B120" s="8">
        <f>'Mensual 2025'!C129</f>
        <v>2020.5767271463781</v>
      </c>
      <c r="C120" s="8">
        <f>'Mensual 2025'!D129</f>
        <v>1422.8150738128779</v>
      </c>
      <c r="D120" s="8">
        <f>'Mensual 2025'!E129</f>
        <v>3370.9469064055324</v>
      </c>
      <c r="E120" s="8">
        <f>'Mensual 2025'!F129</f>
        <v>4333.161522620896</v>
      </c>
      <c r="F120" s="8">
        <f>'Mensual 2025'!G129</f>
        <v>1796.3953632223893</v>
      </c>
      <c r="G120" s="8">
        <f>'Mensual 2025'!H129</f>
        <v>2546.1353008107826</v>
      </c>
      <c r="H120" s="8">
        <f>'Mensual 2025'!I129</f>
        <v>2408.732290190168</v>
      </c>
      <c r="I120" s="8">
        <f>'Mensual 2025'!J129</f>
        <v>3462.267586365263</v>
      </c>
      <c r="J120" s="8">
        <f>'Mensual 2025'!K129</f>
        <v>1394.9636888656582</v>
      </c>
      <c r="K120" s="8">
        <f>'Mensual 2025'!L129</f>
        <v>4638.8819173479742</v>
      </c>
      <c r="L120" s="8">
        <f>'Mensual 2025'!M129</f>
        <v>3823.0079795478296</v>
      </c>
      <c r="M120" s="8">
        <f>'Mensual 2025'!N129</f>
        <v>2099.5980382683342</v>
      </c>
      <c r="N120" s="8">
        <f t="shared" si="23"/>
        <v>33317.482394604085</v>
      </c>
      <c r="O120" s="14" t="s">
        <v>25</v>
      </c>
    </row>
    <row r="121" spans="1:15" ht="19.5" customHeight="1" x14ac:dyDescent="0.3">
      <c r="A121" s="11" t="s">
        <v>26</v>
      </c>
      <c r="B121" s="12">
        <f t="shared" ref="B121:O121" si="24">SUM(B114:B119)</f>
        <v>11.186769692448001</v>
      </c>
      <c r="C121" s="12">
        <f t="shared" si="24"/>
        <v>7.8773076675820795</v>
      </c>
      <c r="D121" s="12">
        <f t="shared" si="24"/>
        <v>18.662991699744001</v>
      </c>
      <c r="E121" s="12">
        <f t="shared" si="24"/>
        <v>23.990219892414721</v>
      </c>
      <c r="F121" s="12">
        <f t="shared" si="24"/>
        <v>9.9456065859628815</v>
      </c>
      <c r="G121" s="12">
        <f t="shared" si="24"/>
        <v>14.09648484678336</v>
      </c>
      <c r="H121" s="12">
        <f t="shared" si="24"/>
        <v>13.335763507073283</v>
      </c>
      <c r="I121" s="12">
        <f t="shared" si="24"/>
        <v>19.168581713299201</v>
      </c>
      <c r="J121" s="12">
        <f t="shared" si="24"/>
        <v>7.7231105886816014</v>
      </c>
      <c r="K121" s="12">
        <f t="shared" si="24"/>
        <v>25.682817654305282</v>
      </c>
      <c r="L121" s="12">
        <f t="shared" si="24"/>
        <v>21.16579352073984</v>
      </c>
      <c r="M121" s="12">
        <f t="shared" si="24"/>
        <v>11.624265183928321</v>
      </c>
      <c r="N121" s="12">
        <f t="shared" si="24"/>
        <v>184.45971255296257</v>
      </c>
      <c r="O121" s="12">
        <f t="shared" si="24"/>
        <v>1098.0309999999999</v>
      </c>
    </row>
    <row r="122" spans="1:15" ht="68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8.75" customHeight="1" x14ac:dyDescent="0.3">
      <c r="A123" s="2"/>
      <c r="B123" s="21" t="s">
        <v>50</v>
      </c>
      <c r="C123" s="21" t="s">
        <v>50</v>
      </c>
      <c r="D123" s="21" t="s">
        <v>50</v>
      </c>
      <c r="E123" s="21" t="s">
        <v>50</v>
      </c>
      <c r="F123" s="21" t="s">
        <v>50</v>
      </c>
      <c r="G123" s="21" t="s">
        <v>50</v>
      </c>
      <c r="H123" s="21" t="s">
        <v>50</v>
      </c>
      <c r="I123" s="21" t="s">
        <v>50</v>
      </c>
      <c r="J123" s="21" t="s">
        <v>50</v>
      </c>
      <c r="K123" s="21" t="s">
        <v>50</v>
      </c>
      <c r="L123" s="21" t="s">
        <v>50</v>
      </c>
      <c r="M123" s="21" t="s">
        <v>50</v>
      </c>
      <c r="N123" s="21" t="s">
        <v>51</v>
      </c>
      <c r="O123" s="21" t="s">
        <v>52</v>
      </c>
    </row>
    <row r="124" spans="1:15" ht="19.5" customHeight="1" x14ac:dyDescent="0.3">
      <c r="A124" s="2" t="s">
        <v>53</v>
      </c>
      <c r="B124" s="12">
        <f t="shared" ref="B124:O124" si="25">SUM(B12,B30,B47,B61,B71,B81,B91,B101,B111,B121)</f>
        <v>2544.5663245492374</v>
      </c>
      <c r="C124" s="12">
        <f t="shared" si="25"/>
        <v>2529.7995113028664</v>
      </c>
      <c r="D124" s="12">
        <f t="shared" si="25"/>
        <v>1894.6255799761473</v>
      </c>
      <c r="E124" s="12">
        <f t="shared" si="25"/>
        <v>1943.9733469869889</v>
      </c>
      <c r="F124" s="12">
        <f t="shared" si="25"/>
        <v>2561.3244293738876</v>
      </c>
      <c r="G124" s="12">
        <f t="shared" si="25"/>
        <v>3279.2252348121428</v>
      </c>
      <c r="H124" s="12">
        <f t="shared" si="25"/>
        <v>3413.9762705975936</v>
      </c>
      <c r="I124" s="12">
        <f t="shared" si="25"/>
        <v>3064.3854422337367</v>
      </c>
      <c r="J124" s="12">
        <f t="shared" si="25"/>
        <v>2810.206806333199</v>
      </c>
      <c r="K124" s="12">
        <f t="shared" si="25"/>
        <v>4080.2556861277671</v>
      </c>
      <c r="L124" s="12">
        <f t="shared" si="25"/>
        <v>3259.6545323196988</v>
      </c>
      <c r="M124" s="12">
        <f t="shared" si="25"/>
        <v>3144.0718494163962</v>
      </c>
      <c r="N124" s="12">
        <f t="shared" si="25"/>
        <v>34526.065014029657</v>
      </c>
      <c r="O124" s="12">
        <f t="shared" si="25"/>
        <v>150686.30099999998</v>
      </c>
    </row>
    <row r="125" spans="1:15" ht="15.75" customHeight="1" x14ac:dyDescent="0.25">
      <c r="A125" s="2" t="s">
        <v>54</v>
      </c>
      <c r="B125" s="9">
        <v>8.5317460000000001</v>
      </c>
      <c r="C125" s="9">
        <v>7.6128119999999999</v>
      </c>
      <c r="D125" s="9">
        <v>6.5810570000000004</v>
      </c>
      <c r="E125" s="9">
        <v>6.8910590000000003</v>
      </c>
      <c r="F125" s="9">
        <v>8.1380309999999998</v>
      </c>
      <c r="G125" s="9">
        <v>9.5172229999999995</v>
      </c>
      <c r="H125" s="9">
        <v>10.482595</v>
      </c>
      <c r="I125" s="9">
        <v>10.629733</v>
      </c>
      <c r="J125" s="9">
        <v>10.250973999999999</v>
      </c>
      <c r="K125" s="9">
        <v>12.059688</v>
      </c>
      <c r="L125" s="9">
        <v>10.555025000000001</v>
      </c>
      <c r="M125" s="9">
        <v>8.7291279999999993</v>
      </c>
      <c r="N125" s="9">
        <f>SUM(B125:M125)</f>
        <v>109.979071</v>
      </c>
      <c r="O125" s="10" t="s">
        <v>25</v>
      </c>
    </row>
    <row r="126" spans="1:15" ht="15" customHeight="1" x14ac:dyDescent="0.25">
      <c r="A126" s="2" t="s">
        <v>55</v>
      </c>
      <c r="B126" s="9">
        <f t="shared" ref="B126:N126" si="26">B124*2000/B125/1000000</f>
        <v>0.59649368946268144</v>
      </c>
      <c r="C126" s="9">
        <f t="shared" si="26"/>
        <v>0.66461631032077673</v>
      </c>
      <c r="D126" s="9">
        <f t="shared" si="26"/>
        <v>0.57578154389975567</v>
      </c>
      <c r="E126" s="9">
        <f t="shared" si="26"/>
        <v>0.56420162619039793</v>
      </c>
      <c r="F126" s="9">
        <f t="shared" si="26"/>
        <v>0.62947030537826343</v>
      </c>
      <c r="G126" s="9">
        <f t="shared" si="26"/>
        <v>0.68911388013334196</v>
      </c>
      <c r="H126" s="9">
        <f t="shared" si="26"/>
        <v>0.65136090263862978</v>
      </c>
      <c r="I126" s="9">
        <f t="shared" si="26"/>
        <v>0.57656865741288821</v>
      </c>
      <c r="J126" s="9">
        <f t="shared" si="26"/>
        <v>0.54828093532052646</v>
      </c>
      <c r="K126" s="9">
        <f t="shared" si="26"/>
        <v>0.67667682383288319</v>
      </c>
      <c r="L126" s="9">
        <f t="shared" si="26"/>
        <v>0.61764979852150015</v>
      </c>
      <c r="M126" s="9">
        <f t="shared" si="26"/>
        <v>0.72036332825372629</v>
      </c>
      <c r="N126" s="9">
        <f t="shared" si="26"/>
        <v>0.6278660967054297</v>
      </c>
      <c r="O126" s="10" t="s">
        <v>25</v>
      </c>
    </row>
    <row r="127" spans="1:15" ht="15" customHeight="1" x14ac:dyDescent="0.25">
      <c r="A127" s="2" t="s">
        <v>24</v>
      </c>
      <c r="B127" s="9">
        <f t="shared" ref="B127:N127" si="27">SUM(B11,B21,B39,B60,B70,B80,B90,B100,B110,B120)</f>
        <v>610909.39159251843</v>
      </c>
      <c r="C127" s="9">
        <f t="shared" si="27"/>
        <v>574977.56260886253</v>
      </c>
      <c r="D127" s="9">
        <f t="shared" si="27"/>
        <v>493313.22917910904</v>
      </c>
      <c r="E127" s="9">
        <f t="shared" si="27"/>
        <v>513957.17083869345</v>
      </c>
      <c r="F127" s="9">
        <f t="shared" si="27"/>
        <v>597630.50089237129</v>
      </c>
      <c r="G127" s="9">
        <f t="shared" si="27"/>
        <v>750393.81124787952</v>
      </c>
      <c r="H127" s="9">
        <f t="shared" si="27"/>
        <v>782098.17731097154</v>
      </c>
      <c r="I127" s="9">
        <f t="shared" si="27"/>
        <v>752623.08916093304</v>
      </c>
      <c r="J127" s="9">
        <f t="shared" si="27"/>
        <v>713204.77655112464</v>
      </c>
      <c r="K127" s="9">
        <f t="shared" si="27"/>
        <v>969864.94331582368</v>
      </c>
      <c r="L127" s="9">
        <f t="shared" si="27"/>
        <v>772372.88113573974</v>
      </c>
      <c r="M127" s="9">
        <f t="shared" si="27"/>
        <v>665871.88250705926</v>
      </c>
      <c r="N127" s="9">
        <f t="shared" si="27"/>
        <v>8197217.4163410868</v>
      </c>
      <c r="O127" s="22" t="s">
        <v>25</v>
      </c>
    </row>
    <row r="128" spans="1:15" ht="15" customHeight="1" x14ac:dyDescent="0.25">
      <c r="A128" s="2" t="s">
        <v>56</v>
      </c>
      <c r="B128" s="9">
        <v>756.77519099999995</v>
      </c>
      <c r="C128" s="9">
        <v>676.07980499999996</v>
      </c>
      <c r="D128" s="9">
        <v>597.92265499999996</v>
      </c>
      <c r="E128" s="9">
        <v>617.78740200000004</v>
      </c>
      <c r="F128" s="9">
        <v>735.04728599999999</v>
      </c>
      <c r="G128" s="9">
        <v>841.04997100000003</v>
      </c>
      <c r="H128" s="9">
        <v>914.40567799999997</v>
      </c>
      <c r="I128" s="9">
        <v>930.08499500000005</v>
      </c>
      <c r="J128" s="9">
        <v>905.37344099999996</v>
      </c>
      <c r="K128" s="9">
        <v>1067.393239</v>
      </c>
      <c r="L128" s="9">
        <v>919.03959499999996</v>
      </c>
      <c r="M128" s="9">
        <v>755.42935699999998</v>
      </c>
      <c r="N128" s="9">
        <f>SUM(B128:M128)</f>
        <v>9716.3886149999998</v>
      </c>
      <c r="O128" s="22" t="s">
        <v>25</v>
      </c>
    </row>
    <row r="129" spans="1:15" ht="15" customHeight="1" x14ac:dyDescent="0.25">
      <c r="A129" s="2" t="s">
        <v>57</v>
      </c>
      <c r="B129" s="9">
        <f t="shared" ref="B129:N129" si="28">B127/B128/1000</f>
        <v>0.80725346028490308</v>
      </c>
      <c r="C129" s="9">
        <f t="shared" si="28"/>
        <v>0.85045812396195231</v>
      </c>
      <c r="D129" s="9">
        <f t="shared" si="28"/>
        <v>0.82504522124037771</v>
      </c>
      <c r="E129" s="9">
        <f t="shared" si="28"/>
        <v>0.8319321002254646</v>
      </c>
      <c r="F129" s="9">
        <f t="shared" si="28"/>
        <v>0.81305041495299291</v>
      </c>
      <c r="G129" s="9">
        <f t="shared" si="28"/>
        <v>0.89221073315735178</v>
      </c>
      <c r="H129" s="9">
        <f t="shared" si="28"/>
        <v>0.85530765624901506</v>
      </c>
      <c r="I129" s="9">
        <f t="shared" si="28"/>
        <v>0.80919818425942136</v>
      </c>
      <c r="J129" s="9">
        <f t="shared" si="28"/>
        <v>0.78774651900919268</v>
      </c>
      <c r="K129" s="9">
        <f t="shared" si="28"/>
        <v>0.90862946089526775</v>
      </c>
      <c r="L129" s="9">
        <f t="shared" si="28"/>
        <v>0.84041306309086694</v>
      </c>
      <c r="M129" s="9">
        <f t="shared" si="28"/>
        <v>0.88144824706231173</v>
      </c>
      <c r="N129" s="9">
        <f t="shared" si="28"/>
        <v>0.84364857573588181</v>
      </c>
      <c r="O129" s="10" t="s">
        <v>25</v>
      </c>
    </row>
    <row r="130" spans="1:1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8.75" customHeight="1" x14ac:dyDescent="0.3">
      <c r="A134" s="2" t="s">
        <v>58</v>
      </c>
      <c r="B134" s="21" t="s">
        <v>59</v>
      </c>
      <c r="C134" s="21" t="s">
        <v>59</v>
      </c>
      <c r="D134" s="21" t="s">
        <v>59</v>
      </c>
      <c r="E134" s="21" t="s">
        <v>59</v>
      </c>
      <c r="F134" s="21" t="s">
        <v>59</v>
      </c>
      <c r="G134" s="21" t="s">
        <v>59</v>
      </c>
      <c r="H134" s="21" t="s">
        <v>59</v>
      </c>
      <c r="I134" s="21" t="s">
        <v>59</v>
      </c>
      <c r="J134" s="21" t="s">
        <v>59</v>
      </c>
      <c r="K134" s="21" t="s">
        <v>59</v>
      </c>
      <c r="L134" s="21" t="s">
        <v>59</v>
      </c>
      <c r="M134" s="21" t="s">
        <v>59</v>
      </c>
      <c r="N134" s="21" t="s">
        <v>59</v>
      </c>
      <c r="O134" s="21" t="s">
        <v>59</v>
      </c>
    </row>
    <row r="135" spans="1:15" ht="15" customHeight="1" x14ac:dyDescent="0.25">
      <c r="A135" s="2" t="s">
        <v>17</v>
      </c>
      <c r="B135" s="9">
        <f t="shared" ref="B135:O135" si="29">SUM(B4,B5,B15,B33,B50,B51,B52,B64,B74,B84,B94,B104,B114)</f>
        <v>175.99600304682468</v>
      </c>
      <c r="C135" s="9">
        <f t="shared" si="29"/>
        <v>188.43843624591509</v>
      </c>
      <c r="D135" s="9">
        <f t="shared" si="29"/>
        <v>141.59442779358221</v>
      </c>
      <c r="E135" s="9">
        <f t="shared" si="29"/>
        <v>132.1783868350723</v>
      </c>
      <c r="F135" s="9">
        <f t="shared" si="29"/>
        <v>182.28838661213348</v>
      </c>
      <c r="G135" s="9">
        <f t="shared" si="29"/>
        <v>240.7457140531632</v>
      </c>
      <c r="H135" s="9">
        <f t="shared" si="29"/>
        <v>231.1416591307302</v>
      </c>
      <c r="I135" s="9">
        <f t="shared" si="29"/>
        <v>178.26549187409711</v>
      </c>
      <c r="J135" s="9">
        <f t="shared" si="29"/>
        <v>166.98991105556362</v>
      </c>
      <c r="K135" s="9">
        <f t="shared" si="29"/>
        <v>269.43634308119761</v>
      </c>
      <c r="L135" s="9">
        <f t="shared" si="29"/>
        <v>199.90988075570351</v>
      </c>
      <c r="M135" s="9">
        <f t="shared" si="29"/>
        <v>222.22381169523746</v>
      </c>
      <c r="N135" s="9">
        <f t="shared" si="29"/>
        <v>2329.2084521792208</v>
      </c>
      <c r="O135" s="9">
        <f t="shared" si="29"/>
        <v>11181.18</v>
      </c>
    </row>
    <row r="136" spans="1:15" ht="15" customHeight="1" x14ac:dyDescent="0.25">
      <c r="A136" s="2" t="s">
        <v>41</v>
      </c>
      <c r="B136" s="9">
        <f t="shared" ref="B136:O136" si="30">SUM(B6,B16,B34,B53,B65,B75,B85,B95,B105,B115)</f>
        <v>894.37630747517085</v>
      </c>
      <c r="C136" s="9">
        <f t="shared" si="30"/>
        <v>1007.3207569154666</v>
      </c>
      <c r="D136" s="9">
        <f t="shared" si="30"/>
        <v>595.67488217008861</v>
      </c>
      <c r="E136" s="9">
        <f t="shared" si="30"/>
        <v>519.05984307425967</v>
      </c>
      <c r="F136" s="9">
        <f t="shared" si="30"/>
        <v>877.10040058678578</v>
      </c>
      <c r="G136" s="9">
        <f t="shared" si="30"/>
        <v>1172.6978970385996</v>
      </c>
      <c r="H136" s="9">
        <f t="shared" si="30"/>
        <v>1226.2749829114823</v>
      </c>
      <c r="I136" s="9">
        <f t="shared" si="30"/>
        <v>907.38245571334994</v>
      </c>
      <c r="J136" s="9">
        <f t="shared" si="30"/>
        <v>864.97644751193775</v>
      </c>
      <c r="K136" s="9">
        <f t="shared" si="30"/>
        <v>1348.2079802792118</v>
      </c>
      <c r="L136" s="9">
        <f t="shared" si="30"/>
        <v>1076.5338037303379</v>
      </c>
      <c r="M136" s="9">
        <f t="shared" si="30"/>
        <v>1290.2509947974345</v>
      </c>
      <c r="N136" s="9">
        <f t="shared" si="30"/>
        <v>11779.856752204121</v>
      </c>
      <c r="O136" s="9">
        <f t="shared" si="30"/>
        <v>69283.94</v>
      </c>
    </row>
    <row r="137" spans="1:15" ht="15" customHeight="1" x14ac:dyDescent="0.25">
      <c r="A137" s="2" t="s">
        <v>20</v>
      </c>
      <c r="B137" s="9">
        <f t="shared" ref="B137:O137" si="31">SUM(B7,B17,B35,B54,B66,B76,B86,B96,B106,B116)</f>
        <v>1382.085659698108</v>
      </c>
      <c r="C137" s="9">
        <f t="shared" si="31"/>
        <v>1241.4344456965023</v>
      </c>
      <c r="D137" s="9">
        <f t="shared" si="31"/>
        <v>1085.8504544865639</v>
      </c>
      <c r="E137" s="9">
        <f t="shared" si="31"/>
        <v>1222.1755428779434</v>
      </c>
      <c r="F137" s="9">
        <f t="shared" si="31"/>
        <v>1411.3885195981645</v>
      </c>
      <c r="G137" s="9">
        <f t="shared" si="31"/>
        <v>1752.2067541799829</v>
      </c>
      <c r="H137" s="9">
        <f t="shared" si="31"/>
        <v>1834.3981817401805</v>
      </c>
      <c r="I137" s="9">
        <f t="shared" si="31"/>
        <v>1866.2606313875381</v>
      </c>
      <c r="J137" s="9">
        <f t="shared" si="31"/>
        <v>1666.0673059720075</v>
      </c>
      <c r="K137" s="9">
        <f t="shared" si="31"/>
        <v>2317.2207227153008</v>
      </c>
      <c r="L137" s="9">
        <f t="shared" si="31"/>
        <v>1861.9435444570674</v>
      </c>
      <c r="M137" s="9">
        <f t="shared" si="31"/>
        <v>1517.6274590696221</v>
      </c>
      <c r="N137" s="9">
        <f t="shared" si="31"/>
        <v>19158.659221878981</v>
      </c>
      <c r="O137" s="9">
        <f t="shared" si="31"/>
        <v>63794.43</v>
      </c>
    </row>
    <row r="138" spans="1:15" ht="15" customHeight="1" x14ac:dyDescent="0.25">
      <c r="A138" s="2" t="s">
        <v>22</v>
      </c>
      <c r="B138" s="9">
        <f t="shared" ref="B138:O138" si="32">SUM(B9,B18,B36,B55,B67,B77,B87,B97,B107,B117)</f>
        <v>12.343197913114963</v>
      </c>
      <c r="C138" s="9">
        <f t="shared" si="32"/>
        <v>13.134758090405462</v>
      </c>
      <c r="D138" s="9">
        <f t="shared" si="32"/>
        <v>13.746120813508711</v>
      </c>
      <c r="E138" s="9">
        <f t="shared" si="32"/>
        <v>13.83516286351926</v>
      </c>
      <c r="F138" s="9">
        <f t="shared" si="32"/>
        <v>10.315818406627162</v>
      </c>
      <c r="G138" s="9">
        <f t="shared" si="32"/>
        <v>12.456794220386497</v>
      </c>
      <c r="H138" s="9">
        <f t="shared" si="32"/>
        <v>15.658967247183952</v>
      </c>
      <c r="I138" s="9">
        <f t="shared" si="32"/>
        <v>14.884425087032913</v>
      </c>
      <c r="J138" s="9">
        <f t="shared" si="32"/>
        <v>14.505953958616502</v>
      </c>
      <c r="K138" s="9">
        <f t="shared" si="32"/>
        <v>20.192843253397196</v>
      </c>
      <c r="L138" s="9">
        <f t="shared" si="32"/>
        <v>14.782041681334361</v>
      </c>
      <c r="M138" s="9">
        <f t="shared" si="32"/>
        <v>12.00377497255497</v>
      </c>
      <c r="N138" s="9">
        <f t="shared" si="32"/>
        <v>167.85985850768193</v>
      </c>
      <c r="O138" s="9">
        <f t="shared" si="32"/>
        <v>758.42000000000007</v>
      </c>
    </row>
    <row r="139" spans="1:15" ht="15" customHeight="1" x14ac:dyDescent="0.25">
      <c r="A139" s="2" t="s">
        <v>21</v>
      </c>
      <c r="B139" s="9">
        <f t="shared" ref="B139:O139" si="33">SUM(B8,B19,B37,B56,B68,B78,B88,B98,B108,B118)</f>
        <v>64.67548673781333</v>
      </c>
      <c r="C139" s="9">
        <f t="shared" si="33"/>
        <v>63.413538516823365</v>
      </c>
      <c r="D139" s="9">
        <f t="shared" si="33"/>
        <v>51.497655222362617</v>
      </c>
      <c r="E139" s="9">
        <f t="shared" si="33"/>
        <v>51.81283939315351</v>
      </c>
      <c r="F139" s="9">
        <f t="shared" si="33"/>
        <v>60.562183750427707</v>
      </c>
      <c r="G139" s="9">
        <f t="shared" si="33"/>
        <v>70.698767161910297</v>
      </c>
      <c r="H139" s="9">
        <f t="shared" si="33"/>
        <v>86.894307691168578</v>
      </c>
      <c r="I139" s="9">
        <f t="shared" si="33"/>
        <v>92.457227692794405</v>
      </c>
      <c r="J139" s="9">
        <f t="shared" si="33"/>
        <v>95.138955078215275</v>
      </c>
      <c r="K139" s="9">
        <f t="shared" si="33"/>
        <v>108.57447931684538</v>
      </c>
      <c r="L139" s="9">
        <f t="shared" si="33"/>
        <v>95.687329127981329</v>
      </c>
      <c r="M139" s="9">
        <f t="shared" si="33"/>
        <v>77.22802222631941</v>
      </c>
      <c r="N139" s="9">
        <f t="shared" si="33"/>
        <v>918.64079191581527</v>
      </c>
      <c r="O139" s="9">
        <f t="shared" si="33"/>
        <v>5016.6200000000008</v>
      </c>
    </row>
    <row r="140" spans="1:15" ht="15" customHeight="1" x14ac:dyDescent="0.25">
      <c r="A140" s="2" t="s">
        <v>23</v>
      </c>
      <c r="B140" s="9">
        <f t="shared" ref="B140:O140" si="34">SUM(B10,B20,B38,B58,B69,B79,B89,B99,B109,B119)</f>
        <v>2.7116493485085002E-2</v>
      </c>
      <c r="C140" s="9">
        <f t="shared" si="34"/>
        <v>2.6616114339215E-2</v>
      </c>
      <c r="D140" s="9">
        <f t="shared" si="34"/>
        <v>2.7922349061386003E-2</v>
      </c>
      <c r="E140" s="9">
        <f t="shared" si="34"/>
        <v>3.0565231328414998E-2</v>
      </c>
      <c r="F140" s="9">
        <f t="shared" si="34"/>
        <v>2.2616209025319998E-2</v>
      </c>
      <c r="G140" s="9">
        <f t="shared" si="34"/>
        <v>2.997325598216E-2</v>
      </c>
      <c r="H140" s="9">
        <f t="shared" si="34"/>
        <v>3.4587582916315002E-2</v>
      </c>
      <c r="I140" s="9">
        <f t="shared" si="34"/>
        <v>3.0125797870514996E-2</v>
      </c>
      <c r="J140" s="9">
        <f t="shared" si="34"/>
        <v>2.5474843838180005E-2</v>
      </c>
      <c r="K140" s="9">
        <f t="shared" si="34"/>
        <v>4.09950161982E-2</v>
      </c>
      <c r="L140" s="9">
        <f t="shared" si="34"/>
        <v>3.1425087056645006E-2</v>
      </c>
      <c r="M140" s="9">
        <f t="shared" si="34"/>
        <v>2.8329080322505008E-2</v>
      </c>
      <c r="N140" s="9">
        <f t="shared" si="34"/>
        <v>0.35574706142394097</v>
      </c>
      <c r="O140" s="9">
        <f t="shared" si="34"/>
        <v>4.9810000000000008</v>
      </c>
    </row>
    <row r="141" spans="1:15" ht="18" customHeight="1" x14ac:dyDescent="0.25">
      <c r="A141" s="2" t="s">
        <v>42</v>
      </c>
      <c r="B141" s="9">
        <f t="shared" ref="B141:O141" si="35">SUM(B57)</f>
        <v>15.062553184720999</v>
      </c>
      <c r="C141" s="9">
        <f t="shared" si="35"/>
        <v>16.030959723414998</v>
      </c>
      <c r="D141" s="9">
        <f t="shared" si="35"/>
        <v>6.2341171409799996</v>
      </c>
      <c r="E141" s="9">
        <f t="shared" si="35"/>
        <v>4.8810067117121987</v>
      </c>
      <c r="F141" s="9">
        <f t="shared" si="35"/>
        <v>19.646504210724</v>
      </c>
      <c r="G141" s="9">
        <f t="shared" si="35"/>
        <v>30.389334902118009</v>
      </c>
      <c r="H141" s="9">
        <f t="shared" si="35"/>
        <v>19.573584293930999</v>
      </c>
      <c r="I141" s="9">
        <f t="shared" si="35"/>
        <v>5.1050846810549988</v>
      </c>
      <c r="J141" s="9">
        <f t="shared" si="35"/>
        <v>2.5027579130199999</v>
      </c>
      <c r="K141" s="9">
        <f t="shared" si="35"/>
        <v>16.582322465615999</v>
      </c>
      <c r="L141" s="9">
        <f t="shared" si="35"/>
        <v>10.766507480216999</v>
      </c>
      <c r="M141" s="9">
        <f t="shared" si="35"/>
        <v>24.709457574904995</v>
      </c>
      <c r="N141" s="9">
        <f t="shared" si="35"/>
        <v>171.4841902824142</v>
      </c>
      <c r="O141" s="9">
        <f t="shared" si="35"/>
        <v>469</v>
      </c>
    </row>
    <row r="142" spans="1:15" ht="15" customHeight="1" x14ac:dyDescent="0.25">
      <c r="A142" s="2" t="s">
        <v>24</v>
      </c>
      <c r="B142" s="9">
        <f t="shared" ref="B142:N142" si="36">SUM(B11,B21,B39,B60,B70,B80,B90,B100,B110,B120)</f>
        <v>610909.39159251843</v>
      </c>
      <c r="C142" s="9">
        <f t="shared" si="36"/>
        <v>574977.56260886253</v>
      </c>
      <c r="D142" s="9">
        <f t="shared" si="36"/>
        <v>493313.22917910904</v>
      </c>
      <c r="E142" s="9">
        <f t="shared" si="36"/>
        <v>513957.17083869345</v>
      </c>
      <c r="F142" s="9">
        <f t="shared" si="36"/>
        <v>597630.50089237129</v>
      </c>
      <c r="G142" s="9">
        <f t="shared" si="36"/>
        <v>750393.81124787952</v>
      </c>
      <c r="H142" s="9">
        <f t="shared" si="36"/>
        <v>782098.17731097154</v>
      </c>
      <c r="I142" s="9">
        <f t="shared" si="36"/>
        <v>752623.08916093304</v>
      </c>
      <c r="J142" s="9">
        <f t="shared" si="36"/>
        <v>713204.77655112464</v>
      </c>
      <c r="K142" s="9">
        <f t="shared" si="36"/>
        <v>969864.94331582368</v>
      </c>
      <c r="L142" s="9">
        <f t="shared" si="36"/>
        <v>772372.88113573974</v>
      </c>
      <c r="M142" s="9">
        <f t="shared" si="36"/>
        <v>665871.88250705926</v>
      </c>
      <c r="N142" s="9">
        <f t="shared" si="36"/>
        <v>8197217.4163410868</v>
      </c>
      <c r="O142" s="22" t="s">
        <v>25</v>
      </c>
    </row>
    <row r="143" spans="1:15" ht="19.5" customHeight="1" x14ac:dyDescent="0.3">
      <c r="A143" s="11" t="s">
        <v>26</v>
      </c>
      <c r="B143" s="12">
        <f t="shared" ref="B143:O143" si="37">SUM(B135,B136,B137,B138,B139,B140,B141)</f>
        <v>2544.5663245492378</v>
      </c>
      <c r="C143" s="12">
        <f t="shared" si="37"/>
        <v>2529.7995113028669</v>
      </c>
      <c r="D143" s="12">
        <f t="shared" si="37"/>
        <v>1894.6255799761475</v>
      </c>
      <c r="E143" s="12">
        <f t="shared" si="37"/>
        <v>1943.9733469869889</v>
      </c>
      <c r="F143" s="12">
        <f t="shared" si="37"/>
        <v>2561.3244293738881</v>
      </c>
      <c r="G143" s="12">
        <f t="shared" si="37"/>
        <v>3279.2252348121428</v>
      </c>
      <c r="H143" s="12">
        <f t="shared" si="37"/>
        <v>3413.9762705975932</v>
      </c>
      <c r="I143" s="12">
        <f t="shared" si="37"/>
        <v>3064.3854422337376</v>
      </c>
      <c r="J143" s="12">
        <f t="shared" si="37"/>
        <v>2810.206806333199</v>
      </c>
      <c r="K143" s="12">
        <f t="shared" si="37"/>
        <v>4080.2556861277676</v>
      </c>
      <c r="L143" s="12">
        <f t="shared" si="37"/>
        <v>3259.6545323196983</v>
      </c>
      <c r="M143" s="12">
        <f t="shared" si="37"/>
        <v>3144.0718494163957</v>
      </c>
      <c r="N143" s="12">
        <f t="shared" si="37"/>
        <v>34526.065014029657</v>
      </c>
      <c r="O143" s="12">
        <f t="shared" si="37"/>
        <v>150508.571</v>
      </c>
    </row>
    <row r="144" spans="1:1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8.75" customHeight="1" x14ac:dyDescent="0.3">
      <c r="A146" s="2" t="s">
        <v>60</v>
      </c>
      <c r="B146" s="21" t="s">
        <v>59</v>
      </c>
      <c r="C146" s="21" t="s">
        <v>59</v>
      </c>
      <c r="D146" s="21" t="s">
        <v>59</v>
      </c>
      <c r="E146" s="21" t="s">
        <v>59</v>
      </c>
      <c r="F146" s="21" t="s">
        <v>59</v>
      </c>
      <c r="G146" s="21" t="s">
        <v>59</v>
      </c>
      <c r="H146" s="21" t="s">
        <v>59</v>
      </c>
      <c r="I146" s="21" t="s">
        <v>59</v>
      </c>
      <c r="J146" s="21" t="s">
        <v>59</v>
      </c>
      <c r="K146" s="21" t="s">
        <v>59</v>
      </c>
      <c r="L146" s="21" t="s">
        <v>59</v>
      </c>
      <c r="M146" s="21" t="s">
        <v>59</v>
      </c>
      <c r="N146" s="21" t="s">
        <v>59</v>
      </c>
      <c r="O146" s="21" t="s">
        <v>59</v>
      </c>
    </row>
    <row r="147" spans="1:15" ht="15" customHeight="1" x14ac:dyDescent="0.25">
      <c r="A147" s="2" t="s">
        <v>17</v>
      </c>
      <c r="B147" s="9">
        <f t="shared" ref="B147:N147" si="38">B135*2000/B$125/1000000</f>
        <v>4.1256737611931882E-2</v>
      </c>
      <c r="C147" s="9">
        <f t="shared" si="38"/>
        <v>4.9505606140258042E-2</v>
      </c>
      <c r="D147" s="9">
        <f t="shared" si="38"/>
        <v>4.3030907586298739E-2</v>
      </c>
      <c r="E147" s="9">
        <f t="shared" si="38"/>
        <v>3.8362285632751743E-2</v>
      </c>
      <c r="F147" s="9">
        <f t="shared" si="38"/>
        <v>4.4799137927130889E-2</v>
      </c>
      <c r="G147" s="9">
        <f t="shared" si="38"/>
        <v>5.0591588334782785E-2</v>
      </c>
      <c r="H147" s="9">
        <f t="shared" si="38"/>
        <v>4.4100083830526736E-2</v>
      </c>
      <c r="I147" s="9">
        <f t="shared" si="38"/>
        <v>3.3540916196878531E-2</v>
      </c>
      <c r="J147" s="9">
        <f t="shared" si="38"/>
        <v>3.2580301355864066E-2</v>
      </c>
      <c r="K147" s="9">
        <f t="shared" si="38"/>
        <v>4.4683799959202519E-2</v>
      </c>
      <c r="L147" s="9">
        <f t="shared" si="38"/>
        <v>3.7879565563455037E-2</v>
      </c>
      <c r="M147" s="9">
        <f t="shared" si="38"/>
        <v>5.0915466400592926E-2</v>
      </c>
      <c r="N147" s="9">
        <f t="shared" si="38"/>
        <v>4.235730363969379E-2</v>
      </c>
      <c r="O147" s="10" t="s">
        <v>25</v>
      </c>
    </row>
    <row r="148" spans="1:15" ht="15" customHeight="1" x14ac:dyDescent="0.25">
      <c r="A148" s="2" t="s">
        <v>41</v>
      </c>
      <c r="B148" s="9">
        <f t="shared" ref="B148:N148" si="39">B136*2000/B$125/1000000</f>
        <v>0.20965844681151333</v>
      </c>
      <c r="C148" s="9">
        <f t="shared" si="39"/>
        <v>0.2646382852789394</v>
      </c>
      <c r="D148" s="9">
        <f t="shared" si="39"/>
        <v>0.18102711530080609</v>
      </c>
      <c r="E148" s="9">
        <f t="shared" si="39"/>
        <v>0.15064733680970072</v>
      </c>
      <c r="F148" s="9">
        <f t="shared" si="39"/>
        <v>0.2155559251585023</v>
      </c>
      <c r="G148" s="9">
        <f t="shared" si="39"/>
        <v>0.24643699050418377</v>
      </c>
      <c r="H148" s="9">
        <f t="shared" si="39"/>
        <v>0.23396401042136653</v>
      </c>
      <c r="I148" s="9">
        <f t="shared" si="39"/>
        <v>0.17072535231380695</v>
      </c>
      <c r="J148" s="9">
        <f t="shared" si="39"/>
        <v>0.16875985589504719</v>
      </c>
      <c r="K148" s="9">
        <f t="shared" si="39"/>
        <v>0.22358919737877331</v>
      </c>
      <c r="L148" s="9">
        <f t="shared" si="39"/>
        <v>0.20398507890418788</v>
      </c>
      <c r="M148" s="9">
        <f t="shared" si="39"/>
        <v>0.29561967582499293</v>
      </c>
      <c r="N148" s="9">
        <f t="shared" si="39"/>
        <v>0.21421997194728298</v>
      </c>
      <c r="O148" s="10" t="s">
        <v>25</v>
      </c>
    </row>
    <row r="149" spans="1:15" ht="15" customHeight="1" x14ac:dyDescent="0.25">
      <c r="A149" s="2" t="s">
        <v>20</v>
      </c>
      <c r="B149" s="9">
        <f t="shared" ref="B149:N149" si="40">B137*2000/B$125/1000000</f>
        <v>0.32398659306034383</v>
      </c>
      <c r="C149" s="9">
        <f t="shared" si="40"/>
        <v>0.32614346596146138</v>
      </c>
      <c r="D149" s="9">
        <f t="shared" si="40"/>
        <v>0.32999272137790742</v>
      </c>
      <c r="E149" s="9">
        <f t="shared" si="40"/>
        <v>0.35471341716213522</v>
      </c>
      <c r="F149" s="9">
        <f t="shared" si="40"/>
        <v>0.34686240924817435</v>
      </c>
      <c r="G149" s="9">
        <f t="shared" si="40"/>
        <v>0.36821807247344801</v>
      </c>
      <c r="H149" s="9">
        <f t="shared" si="40"/>
        <v>0.34998932644830411</v>
      </c>
      <c r="I149" s="9">
        <f t="shared" si="40"/>
        <v>0.35113970057150784</v>
      </c>
      <c r="J149" s="9">
        <f t="shared" si="40"/>
        <v>0.32505541541164923</v>
      </c>
      <c r="K149" s="9">
        <f t="shared" si="40"/>
        <v>0.38429198545025395</v>
      </c>
      <c r="L149" s="9">
        <f t="shared" si="40"/>
        <v>0.3528070363560612</v>
      </c>
      <c r="M149" s="9">
        <f t="shared" si="40"/>
        <v>0.34771570747264147</v>
      </c>
      <c r="N149" s="9">
        <f t="shared" si="40"/>
        <v>0.34840554748601177</v>
      </c>
      <c r="O149" s="10" t="s">
        <v>25</v>
      </c>
    </row>
    <row r="150" spans="1:15" ht="15" customHeight="1" x14ac:dyDescent="0.25">
      <c r="A150" s="2" t="s">
        <v>22</v>
      </c>
      <c r="B150" s="9">
        <f t="shared" ref="B150:N150" si="41">B138*2000/B$125/1000000</f>
        <v>2.8934752424919739E-3</v>
      </c>
      <c r="C150" s="9">
        <f t="shared" si="41"/>
        <v>3.4506981363536791E-3</v>
      </c>
      <c r="D150" s="9">
        <f t="shared" si="41"/>
        <v>4.1774811594881217E-3</v>
      </c>
      <c r="E150" s="9">
        <f t="shared" si="41"/>
        <v>4.0153952719079195E-3</v>
      </c>
      <c r="F150" s="9">
        <f t="shared" si="41"/>
        <v>2.5352123644225891E-3</v>
      </c>
      <c r="G150" s="9">
        <f t="shared" si="41"/>
        <v>2.617737174044676E-3</v>
      </c>
      <c r="H150" s="9">
        <f t="shared" si="41"/>
        <v>2.9876127518393969E-3</v>
      </c>
      <c r="I150" s="9">
        <f t="shared" si="41"/>
        <v>2.8005266147386604E-3</v>
      </c>
      <c r="J150" s="9">
        <f t="shared" si="41"/>
        <v>2.8301611063722338E-3</v>
      </c>
      <c r="K150" s="9">
        <f t="shared" si="41"/>
        <v>3.3488168605020625E-3</v>
      </c>
      <c r="L150" s="9">
        <f t="shared" si="41"/>
        <v>2.8009486820418446E-3</v>
      </c>
      <c r="M150" s="9">
        <f t="shared" si="41"/>
        <v>2.7502804340948993E-3</v>
      </c>
      <c r="N150" s="9">
        <f t="shared" si="41"/>
        <v>3.0525782220452093E-3</v>
      </c>
      <c r="O150" s="10" t="s">
        <v>25</v>
      </c>
    </row>
    <row r="151" spans="1:15" ht="15" customHeight="1" x14ac:dyDescent="0.25">
      <c r="A151" s="2" t="s">
        <v>21</v>
      </c>
      <c r="B151" s="9">
        <f t="shared" ref="B151:N151" si="42">B139*2000/B$125/1000000</f>
        <v>1.516113741262652E-2</v>
      </c>
      <c r="C151" s="9">
        <f t="shared" si="42"/>
        <v>1.665968856628099E-2</v>
      </c>
      <c r="D151" s="9">
        <f t="shared" si="42"/>
        <v>1.5650268709832667E-2</v>
      </c>
      <c r="E151" s="9">
        <f t="shared" si="42"/>
        <v>1.5037700125090646E-2</v>
      </c>
      <c r="F151" s="9">
        <f t="shared" si="42"/>
        <v>1.4883743684541803E-2</v>
      </c>
      <c r="G151" s="9">
        <f t="shared" si="42"/>
        <v>1.4857015993406962E-2</v>
      </c>
      <c r="H151" s="9">
        <f t="shared" si="42"/>
        <v>1.6578778001280901E-2</v>
      </c>
      <c r="I151" s="9">
        <f t="shared" si="42"/>
        <v>1.7395964262280982E-2</v>
      </c>
      <c r="J151" s="9">
        <f t="shared" si="42"/>
        <v>1.8561934715318813E-2</v>
      </c>
      <c r="K151" s="9">
        <f t="shared" si="42"/>
        <v>1.8006183794613159E-2</v>
      </c>
      <c r="L151" s="9">
        <f t="shared" si="42"/>
        <v>1.8131142110602547E-2</v>
      </c>
      <c r="M151" s="9">
        <f t="shared" si="42"/>
        <v>1.7694326907869703E-2</v>
      </c>
      <c r="N151" s="9">
        <f t="shared" si="42"/>
        <v>1.6705738347540966E-2</v>
      </c>
      <c r="O151" s="10" t="s">
        <v>25</v>
      </c>
    </row>
    <row r="152" spans="1:15" ht="15" customHeight="1" x14ac:dyDescent="0.25">
      <c r="A152" s="2" t="s">
        <v>23</v>
      </c>
      <c r="B152" s="9">
        <f t="shared" ref="B152:N152" si="43">B140*2000/B$125/1000000</f>
        <v>6.3566105894584765E-6</v>
      </c>
      <c r="C152" s="9">
        <f t="shared" si="43"/>
        <v>6.9924528122367922E-6</v>
      </c>
      <c r="D152" s="9">
        <f t="shared" si="43"/>
        <v>8.4856730647936957E-6</v>
      </c>
      <c r="E152" s="9">
        <f t="shared" si="43"/>
        <v>8.8709823347659617E-6</v>
      </c>
      <c r="F152" s="9">
        <f t="shared" si="43"/>
        <v>5.5581525863737797E-6</v>
      </c>
      <c r="G152" s="9">
        <f t="shared" si="43"/>
        <v>6.2987398702667793E-6</v>
      </c>
      <c r="H152" s="9">
        <f t="shared" si="43"/>
        <v>6.5990497422279502E-6</v>
      </c>
      <c r="I152" s="9">
        <f t="shared" si="43"/>
        <v>5.6682134669826604E-6</v>
      </c>
      <c r="J152" s="9">
        <f t="shared" si="43"/>
        <v>4.9702289437432984E-6</v>
      </c>
      <c r="K152" s="9">
        <f t="shared" si="43"/>
        <v>6.7986860353601187E-6</v>
      </c>
      <c r="L152" s="9">
        <f t="shared" si="43"/>
        <v>5.95452631455539E-6</v>
      </c>
      <c r="M152" s="9">
        <f t="shared" si="43"/>
        <v>6.4907010923668454E-6</v>
      </c>
      <c r="N152" s="9">
        <f t="shared" si="43"/>
        <v>6.4693592733464892E-6</v>
      </c>
      <c r="O152" s="10" t="s">
        <v>25</v>
      </c>
    </row>
    <row r="153" spans="1:15" ht="18" customHeight="1" x14ac:dyDescent="0.25">
      <c r="A153" s="2" t="s">
        <v>42</v>
      </c>
      <c r="B153" s="9">
        <f t="shared" ref="B153:N153" si="44">B141*2000/B$125/1000000</f>
        <v>3.5309427131846164E-3</v>
      </c>
      <c r="C153" s="9">
        <f t="shared" si="44"/>
        <v>4.2115737846711567E-3</v>
      </c>
      <c r="D153" s="9">
        <f t="shared" si="44"/>
        <v>1.8945640923578081E-3</v>
      </c>
      <c r="E153" s="9">
        <f t="shared" si="44"/>
        <v>1.4166202064768852E-3</v>
      </c>
      <c r="F153" s="9">
        <f t="shared" si="44"/>
        <v>4.828318842905366E-3</v>
      </c>
      <c r="G153" s="9">
        <f t="shared" si="44"/>
        <v>6.3861769136055778E-3</v>
      </c>
      <c r="H153" s="9">
        <f t="shared" si="44"/>
        <v>3.7344921355696751E-3</v>
      </c>
      <c r="I153" s="9">
        <f t="shared" si="44"/>
        <v>9.6052924020857331E-4</v>
      </c>
      <c r="J153" s="9">
        <f t="shared" si="44"/>
        <v>4.8829660733116685E-4</v>
      </c>
      <c r="K153" s="9">
        <f t="shared" si="44"/>
        <v>2.7500417035027772E-3</v>
      </c>
      <c r="L153" s="9">
        <f t="shared" si="44"/>
        <v>2.0400723788369995E-3</v>
      </c>
      <c r="M153" s="9">
        <f t="shared" si="44"/>
        <v>5.661380512441791E-3</v>
      </c>
      <c r="N153" s="9">
        <f t="shared" si="44"/>
        <v>3.1184877035816058E-3</v>
      </c>
      <c r="O153" s="10" t="s">
        <v>25</v>
      </c>
    </row>
    <row r="154" spans="1:15" ht="15" customHeight="1" x14ac:dyDescent="0.25">
      <c r="A154" s="2" t="s">
        <v>24</v>
      </c>
      <c r="B154" s="9">
        <f t="shared" ref="B154:N154" si="45">B142*2000/B$125/1000000</f>
        <v>143.2085276782779</v>
      </c>
      <c r="C154" s="9">
        <f t="shared" si="45"/>
        <v>151.0552375676327</v>
      </c>
      <c r="D154" s="9">
        <f t="shared" si="45"/>
        <v>149.91914799677591</v>
      </c>
      <c r="E154" s="9">
        <f t="shared" si="45"/>
        <v>149.1663823626219</v>
      </c>
      <c r="F154" s="9">
        <f t="shared" si="45"/>
        <v>146.87348841319758</v>
      </c>
      <c r="G154" s="9">
        <f t="shared" si="45"/>
        <v>157.69175761624575</v>
      </c>
      <c r="H154" s="9">
        <f t="shared" si="45"/>
        <v>149.21842870223861</v>
      </c>
      <c r="I154" s="9">
        <f t="shared" si="45"/>
        <v>141.60714839421328</v>
      </c>
      <c r="J154" s="9">
        <f t="shared" si="45"/>
        <v>139.1486851007767</v>
      </c>
      <c r="K154" s="9">
        <f t="shared" si="45"/>
        <v>160.84411857351927</v>
      </c>
      <c r="L154" s="9">
        <f t="shared" si="45"/>
        <v>146.3516914712641</v>
      </c>
      <c r="M154" s="9">
        <f t="shared" si="45"/>
        <v>152.56320734603943</v>
      </c>
      <c r="N154" s="9">
        <f t="shared" si="45"/>
        <v>149.06867900968331</v>
      </c>
      <c r="O154" s="10" t="s">
        <v>25</v>
      </c>
    </row>
    <row r="155" spans="1:15" ht="19.5" customHeight="1" x14ac:dyDescent="0.3">
      <c r="A155" s="11" t="s">
        <v>26</v>
      </c>
      <c r="B155" s="12">
        <f t="shared" ref="B155:N155" si="46">SUM(B147:B153)</f>
        <v>0.59649368946268155</v>
      </c>
      <c r="C155" s="12">
        <f t="shared" si="46"/>
        <v>0.66461631032077695</v>
      </c>
      <c r="D155" s="12">
        <f t="shared" si="46"/>
        <v>0.57578154389975555</v>
      </c>
      <c r="E155" s="12">
        <f t="shared" si="46"/>
        <v>0.56420162619039804</v>
      </c>
      <c r="F155" s="12">
        <f t="shared" si="46"/>
        <v>0.62947030537826365</v>
      </c>
      <c r="G155" s="12">
        <f t="shared" si="46"/>
        <v>0.68911388013334196</v>
      </c>
      <c r="H155" s="12">
        <f t="shared" si="46"/>
        <v>0.65136090263862945</v>
      </c>
      <c r="I155" s="12">
        <f t="shared" si="46"/>
        <v>0.57656865741288854</v>
      </c>
      <c r="J155" s="12">
        <f t="shared" si="46"/>
        <v>0.54828093532052646</v>
      </c>
      <c r="K155" s="12">
        <f t="shared" si="46"/>
        <v>0.67667682383288319</v>
      </c>
      <c r="L155" s="12">
        <f t="shared" si="46"/>
        <v>0.61764979852150004</v>
      </c>
      <c r="M155" s="12">
        <f t="shared" si="46"/>
        <v>0.72036332825372607</v>
      </c>
      <c r="N155" s="12">
        <f t="shared" si="46"/>
        <v>0.6278660967054297</v>
      </c>
      <c r="O155" s="23" t="s">
        <v>25</v>
      </c>
    </row>
  </sheetData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4"/>
  <sheetViews>
    <sheetView topLeftCell="A16" zoomScaleNormal="100" workbookViewId="0">
      <selection activeCell="L24" sqref="L24"/>
    </sheetView>
  </sheetViews>
  <sheetFormatPr defaultColWidth="8.85546875" defaultRowHeight="15" x14ac:dyDescent="0.25"/>
  <cols>
    <col min="1" max="1" width="9.42578125" style="24" customWidth="1"/>
    <col min="2" max="2" width="23.7109375" style="24" customWidth="1"/>
    <col min="3" max="3" width="22.5703125" style="24" customWidth="1"/>
    <col min="4" max="4" width="12.85546875" style="24" customWidth="1"/>
    <col min="5" max="5" width="13.7109375" style="24" customWidth="1"/>
    <col min="6" max="6" width="8.85546875" style="24"/>
    <col min="7" max="7" width="10.28515625" style="24" customWidth="1"/>
    <col min="8" max="8" width="10.42578125" style="24" customWidth="1"/>
    <col min="9" max="9" width="10.28515625" style="24" customWidth="1"/>
    <col min="10" max="10" width="11.7109375" style="24" customWidth="1"/>
    <col min="11" max="11" width="8.85546875" style="24"/>
    <col min="12" max="12" width="12.5703125" style="24" customWidth="1"/>
    <col min="13" max="13" width="12.42578125" style="24" customWidth="1"/>
    <col min="14" max="14" width="10.7109375" style="24" customWidth="1"/>
    <col min="15" max="15" width="10.42578125" style="24" customWidth="1"/>
    <col min="16" max="16384" width="8.85546875" style="24"/>
  </cols>
  <sheetData>
    <row r="2" spans="1:13" ht="14.25" customHeight="1" x14ac:dyDescent="0.25">
      <c r="A2" s="565" t="s">
        <v>61</v>
      </c>
      <c r="B2" s="565"/>
      <c r="C2" s="565"/>
      <c r="D2" s="565"/>
      <c r="E2" s="565"/>
      <c r="F2" s="565"/>
      <c r="G2" s="565"/>
      <c r="H2" s="565"/>
      <c r="I2" s="565"/>
    </row>
    <row r="3" spans="1:13" ht="14.25" customHeight="1" x14ac:dyDescent="0.25">
      <c r="A3" s="569" t="s">
        <v>62</v>
      </c>
      <c r="B3" s="569"/>
      <c r="C3" s="569"/>
      <c r="D3" s="569"/>
      <c r="E3" s="569"/>
      <c r="F3" s="568" t="s">
        <v>63</v>
      </c>
      <c r="G3" s="568"/>
      <c r="H3" s="568"/>
      <c r="I3" s="568"/>
      <c r="L3" s="24" t="s">
        <v>64</v>
      </c>
    </row>
    <row r="4" spans="1:13" ht="14.25" customHeight="1" x14ac:dyDescent="0.25">
      <c r="A4" s="27" t="s">
        <v>65</v>
      </c>
      <c r="B4" s="25" t="s">
        <v>66</v>
      </c>
      <c r="C4" s="25" t="s">
        <v>67</v>
      </c>
      <c r="D4" s="25" t="s">
        <v>68</v>
      </c>
      <c r="E4" s="25" t="s">
        <v>69</v>
      </c>
      <c r="F4" s="25" t="s">
        <v>66</v>
      </c>
      <c r="G4" s="25" t="s">
        <v>67</v>
      </c>
      <c r="H4" s="28" t="s">
        <v>68</v>
      </c>
      <c r="I4" s="28" t="s">
        <v>69</v>
      </c>
      <c r="J4" s="29" t="s">
        <v>66</v>
      </c>
      <c r="K4" s="30" t="s">
        <v>67</v>
      </c>
      <c r="L4" s="31" t="s">
        <v>68</v>
      </c>
      <c r="M4" s="32" t="s">
        <v>69</v>
      </c>
    </row>
    <row r="5" spans="1:13" ht="14.25" customHeight="1" x14ac:dyDescent="0.25">
      <c r="A5" s="33">
        <v>45658</v>
      </c>
      <c r="B5" s="34">
        <v>0</v>
      </c>
      <c r="C5" s="34">
        <v>0</v>
      </c>
      <c r="D5" s="35">
        <f t="shared" ref="D5:D16" si="0">SUM(L5*42)</f>
        <v>330906.65999999997</v>
      </c>
      <c r="E5" s="36">
        <f t="shared" ref="E5:E16" si="1">SUM(M5*42)</f>
        <v>8255976.96</v>
      </c>
      <c r="F5" s="34">
        <v>0</v>
      </c>
      <c r="G5" s="37">
        <v>0</v>
      </c>
      <c r="H5" s="35">
        <v>0.49</v>
      </c>
      <c r="I5" s="36">
        <v>0.49</v>
      </c>
      <c r="J5" s="38">
        <v>0</v>
      </c>
      <c r="K5" s="34">
        <v>0</v>
      </c>
      <c r="L5" s="35">
        <v>7878.73</v>
      </c>
      <c r="M5" s="36">
        <v>196570.88</v>
      </c>
    </row>
    <row r="6" spans="1:13" ht="14.25" customHeight="1" x14ac:dyDescent="0.25">
      <c r="A6" s="39">
        <v>45689</v>
      </c>
      <c r="B6" s="40">
        <v>0</v>
      </c>
      <c r="C6" s="40">
        <v>0</v>
      </c>
      <c r="D6" s="41">
        <f t="shared" si="0"/>
        <v>762088.32</v>
      </c>
      <c r="E6" s="42">
        <f t="shared" si="1"/>
        <v>8463100.3800000008</v>
      </c>
      <c r="F6" s="40">
        <v>0</v>
      </c>
      <c r="G6" s="43">
        <v>0</v>
      </c>
      <c r="H6" s="41">
        <v>0.48</v>
      </c>
      <c r="I6" s="44">
        <v>0.48</v>
      </c>
      <c r="J6" s="45">
        <v>0</v>
      </c>
      <c r="K6" s="40">
        <v>0</v>
      </c>
      <c r="L6" s="41">
        <v>18144.96</v>
      </c>
      <c r="M6" s="44">
        <v>201502.39</v>
      </c>
    </row>
    <row r="7" spans="1:13" ht="14.25" customHeight="1" x14ac:dyDescent="0.25">
      <c r="A7" s="39">
        <v>45717</v>
      </c>
      <c r="B7" s="40">
        <v>0</v>
      </c>
      <c r="C7" s="40">
        <v>0</v>
      </c>
      <c r="D7" s="41">
        <f t="shared" si="0"/>
        <v>0</v>
      </c>
      <c r="E7" s="44">
        <f t="shared" si="1"/>
        <v>3474278.64</v>
      </c>
      <c r="F7" s="40">
        <v>0</v>
      </c>
      <c r="G7" s="43">
        <v>0</v>
      </c>
      <c r="H7" s="41">
        <v>0.49</v>
      </c>
      <c r="I7" s="44">
        <v>0.49</v>
      </c>
      <c r="J7" s="45">
        <v>0</v>
      </c>
      <c r="K7" s="40">
        <v>0</v>
      </c>
      <c r="L7" s="41">
        <v>0</v>
      </c>
      <c r="M7" s="44">
        <v>82720.92</v>
      </c>
    </row>
    <row r="8" spans="1:13" ht="14.25" customHeight="1" x14ac:dyDescent="0.25">
      <c r="A8" s="39">
        <v>45748</v>
      </c>
      <c r="B8" s="40">
        <v>0</v>
      </c>
      <c r="C8" s="40">
        <v>0</v>
      </c>
      <c r="D8" s="41">
        <f t="shared" si="0"/>
        <v>0</v>
      </c>
      <c r="E8" s="44">
        <f t="shared" si="1"/>
        <v>2669000.46</v>
      </c>
      <c r="F8" s="40">
        <v>0</v>
      </c>
      <c r="G8" s="43">
        <v>0</v>
      </c>
      <c r="H8" s="41">
        <v>0.48</v>
      </c>
      <c r="I8" s="44">
        <v>0.48</v>
      </c>
      <c r="J8" s="45">
        <v>0</v>
      </c>
      <c r="K8" s="40">
        <v>0</v>
      </c>
      <c r="L8" s="41">
        <v>0</v>
      </c>
      <c r="M8" s="44">
        <v>63547.63</v>
      </c>
    </row>
    <row r="9" spans="1:13" ht="14.25" customHeight="1" x14ac:dyDescent="0.25">
      <c r="A9" s="39">
        <v>45778</v>
      </c>
      <c r="B9" s="40">
        <v>0</v>
      </c>
      <c r="C9" s="40">
        <v>0</v>
      </c>
      <c r="D9" s="41">
        <f t="shared" si="0"/>
        <v>2658474.42</v>
      </c>
      <c r="E9" s="44">
        <f t="shared" si="1"/>
        <v>8645531.5800000001</v>
      </c>
      <c r="F9" s="40">
        <v>0</v>
      </c>
      <c r="G9" s="43">
        <v>0</v>
      </c>
      <c r="H9" s="41">
        <v>0.49</v>
      </c>
      <c r="I9" s="44">
        <v>0.49</v>
      </c>
      <c r="J9" s="45">
        <v>0</v>
      </c>
      <c r="K9" s="40">
        <v>0</v>
      </c>
      <c r="L9" s="41">
        <v>63297.01</v>
      </c>
      <c r="M9" s="44">
        <v>205845.99</v>
      </c>
    </row>
    <row r="10" spans="1:13" ht="14.25" customHeight="1" x14ac:dyDescent="0.25">
      <c r="A10" s="39">
        <v>45809</v>
      </c>
      <c r="B10" s="40">
        <v>0</v>
      </c>
      <c r="C10" s="40">
        <v>0</v>
      </c>
      <c r="D10" s="41">
        <f t="shared" si="0"/>
        <v>10104505.32</v>
      </c>
      <c r="E10" s="44">
        <f t="shared" si="1"/>
        <v>7613907</v>
      </c>
      <c r="F10" s="40">
        <v>0</v>
      </c>
      <c r="G10" s="43">
        <v>0</v>
      </c>
      <c r="H10" s="41">
        <v>0.49</v>
      </c>
      <c r="I10" s="44">
        <v>0.49</v>
      </c>
      <c r="J10" s="45">
        <v>0</v>
      </c>
      <c r="K10" s="40">
        <v>0</v>
      </c>
      <c r="L10" s="41">
        <v>240583.46</v>
      </c>
      <c r="M10" s="44">
        <v>181283.5</v>
      </c>
    </row>
    <row r="11" spans="1:13" ht="14.25" customHeight="1" x14ac:dyDescent="0.25">
      <c r="A11" s="39">
        <v>45839</v>
      </c>
      <c r="B11" s="40">
        <v>0</v>
      </c>
      <c r="C11" s="40">
        <v>0</v>
      </c>
      <c r="D11" s="41">
        <f t="shared" si="0"/>
        <v>3136727.58</v>
      </c>
      <c r="E11" s="44">
        <f t="shared" si="1"/>
        <v>8141125.4400000004</v>
      </c>
      <c r="F11" s="40">
        <v>0</v>
      </c>
      <c r="G11" s="43">
        <v>0</v>
      </c>
      <c r="H11" s="41">
        <v>0.49</v>
      </c>
      <c r="I11" s="44">
        <v>0.49</v>
      </c>
      <c r="J11" s="45">
        <v>0</v>
      </c>
      <c r="K11" s="40">
        <v>0</v>
      </c>
      <c r="L11" s="41">
        <v>74683.990000000005</v>
      </c>
      <c r="M11" s="44">
        <v>193836.32</v>
      </c>
    </row>
    <row r="12" spans="1:13" ht="14.25" customHeight="1" x14ac:dyDescent="0.25">
      <c r="A12" s="39">
        <v>45870</v>
      </c>
      <c r="B12" s="40">
        <v>0</v>
      </c>
      <c r="C12" s="40">
        <v>0</v>
      </c>
      <c r="D12" s="41">
        <f t="shared" si="0"/>
        <v>1383275.46</v>
      </c>
      <c r="E12" s="44">
        <f t="shared" si="1"/>
        <v>1111535.8799999999</v>
      </c>
      <c r="F12" s="40">
        <v>0</v>
      </c>
      <c r="G12" s="43">
        <v>0</v>
      </c>
      <c r="H12" s="41">
        <v>0.49</v>
      </c>
      <c r="I12" s="44">
        <v>0.49</v>
      </c>
      <c r="J12" s="45">
        <v>0</v>
      </c>
      <c r="K12" s="40">
        <v>0</v>
      </c>
      <c r="L12" s="41">
        <v>32935.129999999997</v>
      </c>
      <c r="M12" s="44">
        <v>26465.14</v>
      </c>
    </row>
    <row r="13" spans="1:13" ht="14.25" customHeight="1" x14ac:dyDescent="0.25">
      <c r="A13" s="39">
        <v>45901</v>
      </c>
      <c r="B13" s="40">
        <v>0</v>
      </c>
      <c r="C13" s="40">
        <v>0</v>
      </c>
      <c r="D13" s="41">
        <f t="shared" si="0"/>
        <v>665703.36</v>
      </c>
      <c r="E13" s="44">
        <f t="shared" si="1"/>
        <v>287365.68</v>
      </c>
      <c r="F13" s="40">
        <v>0</v>
      </c>
      <c r="G13" s="43">
        <v>0</v>
      </c>
      <c r="H13" s="41">
        <v>0.49</v>
      </c>
      <c r="I13" s="44">
        <v>0.49</v>
      </c>
      <c r="J13" s="45">
        <v>0</v>
      </c>
      <c r="K13" s="40">
        <v>0</v>
      </c>
      <c r="L13" s="41">
        <v>15850.08</v>
      </c>
      <c r="M13" s="44">
        <v>6842.04</v>
      </c>
    </row>
    <row r="14" spans="1:13" ht="14.25" customHeight="1" x14ac:dyDescent="0.25">
      <c r="A14" s="39">
        <v>45931</v>
      </c>
      <c r="B14" s="40">
        <v>0</v>
      </c>
      <c r="C14" s="40">
        <v>0</v>
      </c>
      <c r="D14" s="41">
        <f t="shared" si="0"/>
        <v>2844801.12</v>
      </c>
      <c r="E14" s="44">
        <f t="shared" si="1"/>
        <v>6398555.5199999996</v>
      </c>
      <c r="F14" s="40">
        <v>0</v>
      </c>
      <c r="G14" s="43">
        <v>0</v>
      </c>
      <c r="H14" s="41">
        <v>0.49</v>
      </c>
      <c r="I14" s="44">
        <v>0.49</v>
      </c>
      <c r="J14" s="45">
        <v>0</v>
      </c>
      <c r="K14" s="40">
        <v>0</v>
      </c>
      <c r="L14" s="41">
        <v>67733.36</v>
      </c>
      <c r="M14" s="44">
        <v>152346.56</v>
      </c>
    </row>
    <row r="15" spans="1:13" ht="14.25" customHeight="1" x14ac:dyDescent="0.25">
      <c r="A15" s="39">
        <v>45962</v>
      </c>
      <c r="B15" s="40">
        <v>0</v>
      </c>
      <c r="C15" s="40">
        <v>0</v>
      </c>
      <c r="D15" s="41">
        <f t="shared" si="0"/>
        <v>2041878.3</v>
      </c>
      <c r="E15" s="44">
        <f t="shared" si="1"/>
        <v>3906787.08</v>
      </c>
      <c r="F15" s="40">
        <v>0</v>
      </c>
      <c r="G15" s="43">
        <v>0</v>
      </c>
      <c r="H15" s="41">
        <v>0.49</v>
      </c>
      <c r="I15" s="44">
        <v>0.49</v>
      </c>
      <c r="J15" s="45">
        <v>0</v>
      </c>
      <c r="K15" s="40">
        <v>0</v>
      </c>
      <c r="L15" s="41">
        <v>48616.15</v>
      </c>
      <c r="M15" s="44">
        <v>93018.74</v>
      </c>
    </row>
    <row r="16" spans="1:13" ht="14.25" customHeight="1" x14ac:dyDescent="0.25">
      <c r="A16" s="46">
        <v>45992</v>
      </c>
      <c r="B16" s="47">
        <v>0</v>
      </c>
      <c r="C16" s="47">
        <v>0</v>
      </c>
      <c r="D16" s="48">
        <f t="shared" si="0"/>
        <v>4440474.3600000003</v>
      </c>
      <c r="E16" s="49">
        <f t="shared" si="1"/>
        <v>9949477.0199999996</v>
      </c>
      <c r="F16" s="40">
        <v>0</v>
      </c>
      <c r="G16" s="43">
        <v>0</v>
      </c>
      <c r="H16" s="48">
        <v>0.47</v>
      </c>
      <c r="I16" s="49">
        <v>0.47</v>
      </c>
      <c r="J16" s="50">
        <v>0</v>
      </c>
      <c r="K16" s="47">
        <v>0</v>
      </c>
      <c r="L16" s="48">
        <v>105725.58</v>
      </c>
      <c r="M16" s="49">
        <v>236892.31</v>
      </c>
    </row>
    <row r="17" spans="1:9" ht="14.25" customHeight="1" x14ac:dyDescent="0.25">
      <c r="A17" s="25" t="s">
        <v>26</v>
      </c>
      <c r="B17" s="51">
        <f>SUM(B5:B16)</f>
        <v>0</v>
      </c>
      <c r="C17" s="51">
        <f>SUM(C5:C16)</f>
        <v>0</v>
      </c>
      <c r="D17" s="52">
        <f>SUM(D5:D16)</f>
        <v>28368834.900000002</v>
      </c>
      <c r="E17" s="52">
        <f>SUM(E5:E16)</f>
        <v>68916641.640000001</v>
      </c>
      <c r="F17" s="53">
        <f>AVERAGE(F5:F16)</f>
        <v>0</v>
      </c>
      <c r="G17" s="53">
        <f>AVERAGE(G5:G16)</f>
        <v>0</v>
      </c>
      <c r="H17" s="54">
        <f>AVERAGE(H5:H16)</f>
        <v>0.48666666666666675</v>
      </c>
      <c r="I17" s="54">
        <f>AVERAGE(I5:I16)</f>
        <v>0.48666666666666675</v>
      </c>
    </row>
    <row r="19" spans="1:9" ht="6" customHeight="1" x14ac:dyDescent="0.25">
      <c r="B19" s="55"/>
    </row>
    <row r="21" spans="1:9" ht="14.25" customHeight="1" x14ac:dyDescent="0.25">
      <c r="A21" s="565" t="s">
        <v>70</v>
      </c>
      <c r="B21" s="565"/>
      <c r="C21" s="565"/>
      <c r="D21" s="565"/>
      <c r="E21" s="565"/>
    </row>
    <row r="22" spans="1:9" ht="14.25" customHeight="1" x14ac:dyDescent="0.25">
      <c r="A22" s="566" t="s">
        <v>65</v>
      </c>
      <c r="B22" s="570" t="s">
        <v>62</v>
      </c>
      <c r="C22" s="570"/>
      <c r="D22" s="568" t="s">
        <v>63</v>
      </c>
      <c r="E22" s="568"/>
      <c r="G22" s="24" t="s">
        <v>64</v>
      </c>
    </row>
    <row r="23" spans="1:9" ht="14.25" customHeight="1" x14ac:dyDescent="0.25">
      <c r="A23" s="566"/>
      <c r="B23" s="31" t="s">
        <v>71</v>
      </c>
      <c r="C23" s="30" t="s">
        <v>72</v>
      </c>
      <c r="D23" s="31" t="s">
        <v>71</v>
      </c>
      <c r="E23" s="32" t="s">
        <v>72</v>
      </c>
      <c r="G23" s="31" t="s">
        <v>71</v>
      </c>
      <c r="H23" s="32" t="s">
        <v>72</v>
      </c>
    </row>
    <row r="24" spans="1:9" ht="14.25" customHeight="1" x14ac:dyDescent="0.25">
      <c r="A24" s="56">
        <f t="shared" ref="A24:A35" si="2">A5</f>
        <v>45658</v>
      </c>
      <c r="B24" s="57">
        <v>0</v>
      </c>
      <c r="C24" s="57">
        <v>43260</v>
      </c>
      <c r="D24" s="58">
        <v>1E-3</v>
      </c>
      <c r="E24" s="58">
        <v>1E-3</v>
      </c>
      <c r="G24" s="59">
        <v>0</v>
      </c>
      <c r="H24" s="59">
        <v>0</v>
      </c>
    </row>
    <row r="25" spans="1:9" ht="14.25" customHeight="1" x14ac:dyDescent="0.25">
      <c r="A25" s="60">
        <f t="shared" si="2"/>
        <v>45689</v>
      </c>
      <c r="B25" s="61">
        <v>0</v>
      </c>
      <c r="C25" s="61">
        <v>121656</v>
      </c>
      <c r="D25" s="62">
        <v>8.0000000000000002E-3</v>
      </c>
      <c r="E25" s="62">
        <v>8.0000000000000002E-3</v>
      </c>
      <c r="G25" s="59">
        <v>0</v>
      </c>
      <c r="H25" s="59">
        <v>0</v>
      </c>
    </row>
    <row r="26" spans="1:9" ht="14.25" customHeight="1" x14ac:dyDescent="0.25">
      <c r="A26" s="60">
        <f t="shared" si="2"/>
        <v>45717</v>
      </c>
      <c r="B26" s="61">
        <v>0</v>
      </c>
      <c r="C26" s="61">
        <v>3539</v>
      </c>
      <c r="D26" s="62">
        <v>1E-3</v>
      </c>
      <c r="E26" s="62">
        <v>1E-3</v>
      </c>
      <c r="G26" s="59">
        <v>0</v>
      </c>
      <c r="H26" s="59">
        <v>0</v>
      </c>
    </row>
    <row r="27" spans="1:9" ht="14.25" customHeight="1" x14ac:dyDescent="0.25">
      <c r="A27" s="60">
        <f t="shared" si="2"/>
        <v>45748</v>
      </c>
      <c r="B27" s="61">
        <v>0</v>
      </c>
      <c r="C27" s="61">
        <v>0</v>
      </c>
      <c r="D27" s="62">
        <v>1E-3</v>
      </c>
      <c r="E27" s="62">
        <v>1E-3</v>
      </c>
      <c r="G27" s="59">
        <v>0</v>
      </c>
      <c r="H27" s="59">
        <v>0</v>
      </c>
    </row>
    <row r="28" spans="1:9" ht="14.25" customHeight="1" x14ac:dyDescent="0.25">
      <c r="A28" s="60">
        <f t="shared" si="2"/>
        <v>45778</v>
      </c>
      <c r="B28" s="61">
        <v>0</v>
      </c>
      <c r="C28" s="61">
        <v>0</v>
      </c>
      <c r="D28" s="62">
        <v>1E-3</v>
      </c>
      <c r="E28" s="62">
        <v>1E-3</v>
      </c>
      <c r="G28" s="59">
        <v>0</v>
      </c>
      <c r="H28" s="59">
        <v>0</v>
      </c>
    </row>
    <row r="29" spans="1:9" ht="14.25" customHeight="1" x14ac:dyDescent="0.25">
      <c r="A29" s="60">
        <f t="shared" si="2"/>
        <v>45809</v>
      </c>
      <c r="B29" s="61">
        <v>0</v>
      </c>
      <c r="C29" s="61">
        <v>0</v>
      </c>
      <c r="D29" s="62">
        <v>1E-3</v>
      </c>
      <c r="E29" s="62">
        <v>1E-3</v>
      </c>
      <c r="G29" s="59">
        <v>0</v>
      </c>
      <c r="H29" s="59">
        <v>0</v>
      </c>
    </row>
    <row r="30" spans="1:9" ht="14.25" customHeight="1" x14ac:dyDescent="0.25">
      <c r="A30" s="60">
        <f t="shared" si="2"/>
        <v>45839</v>
      </c>
      <c r="B30" s="61">
        <v>0</v>
      </c>
      <c r="C30" s="61">
        <v>0</v>
      </c>
      <c r="D30" s="62">
        <v>1E-3</v>
      </c>
      <c r="E30" s="62">
        <v>1E-3</v>
      </c>
      <c r="G30" s="59">
        <v>1E-3</v>
      </c>
      <c r="H30" s="59">
        <v>1E-3</v>
      </c>
    </row>
    <row r="31" spans="1:9" ht="14.25" customHeight="1" x14ac:dyDescent="0.25">
      <c r="A31" s="60">
        <f t="shared" si="2"/>
        <v>45870</v>
      </c>
      <c r="B31" s="61">
        <v>0</v>
      </c>
      <c r="C31" s="61">
        <v>0</v>
      </c>
      <c r="D31" s="62">
        <v>1E-3</v>
      </c>
      <c r="E31" s="62">
        <v>1E-3</v>
      </c>
      <c r="G31" s="59">
        <v>0</v>
      </c>
      <c r="H31" s="59">
        <v>0</v>
      </c>
    </row>
    <row r="32" spans="1:9" ht="14.25" customHeight="1" x14ac:dyDescent="0.25">
      <c r="A32" s="60">
        <f t="shared" si="2"/>
        <v>45901</v>
      </c>
      <c r="B32" s="61">
        <v>0</v>
      </c>
      <c r="C32" s="61">
        <v>0</v>
      </c>
      <c r="D32" s="62">
        <v>1E-3</v>
      </c>
      <c r="E32" s="62">
        <v>1E-3</v>
      </c>
      <c r="G32" s="59"/>
      <c r="H32" s="59"/>
    </row>
    <row r="33" spans="1:12" ht="14.25" customHeight="1" x14ac:dyDescent="0.25">
      <c r="A33" s="60">
        <f t="shared" si="2"/>
        <v>45931</v>
      </c>
      <c r="B33" s="61">
        <v>0</v>
      </c>
      <c r="C33" s="61">
        <v>0</v>
      </c>
      <c r="D33" s="62">
        <v>1E-3</v>
      </c>
      <c r="E33" s="62">
        <v>1E-3</v>
      </c>
      <c r="G33" s="59"/>
      <c r="H33" s="59"/>
    </row>
    <row r="34" spans="1:12" ht="14.25" customHeight="1" x14ac:dyDescent="0.25">
      <c r="A34" s="60">
        <f t="shared" si="2"/>
        <v>45962</v>
      </c>
      <c r="B34" s="61">
        <v>0</v>
      </c>
      <c r="C34" s="61">
        <v>0</v>
      </c>
      <c r="D34" s="62">
        <v>1E-3</v>
      </c>
      <c r="E34" s="62">
        <v>1E-3</v>
      </c>
      <c r="G34" s="59"/>
      <c r="H34" s="59"/>
    </row>
    <row r="35" spans="1:12" ht="14.25" customHeight="1" x14ac:dyDescent="0.25">
      <c r="A35" s="63">
        <f t="shared" si="2"/>
        <v>45992</v>
      </c>
      <c r="B35" s="61">
        <v>0</v>
      </c>
      <c r="C35" s="64">
        <v>0</v>
      </c>
      <c r="D35" s="65">
        <v>1E-3</v>
      </c>
      <c r="E35" s="65">
        <v>0.01</v>
      </c>
      <c r="G35" s="59"/>
      <c r="H35" s="59"/>
    </row>
    <row r="36" spans="1:12" ht="14.25" customHeight="1" x14ac:dyDescent="0.25">
      <c r="A36" s="25" t="s">
        <v>26</v>
      </c>
      <c r="B36" s="66">
        <f>SUM(B24:B35)</f>
        <v>0</v>
      </c>
      <c r="C36" s="66">
        <f>SUM(C24:C35)</f>
        <v>168455</v>
      </c>
      <c r="D36" s="67">
        <f>SUM(D24:D35)</f>
        <v>1.900000000000001E-2</v>
      </c>
      <c r="E36" s="67">
        <f>SUM(E24:E35)</f>
        <v>2.8000000000000011E-2</v>
      </c>
    </row>
    <row r="37" spans="1:12" ht="11.25" customHeight="1" x14ac:dyDescent="0.25">
      <c r="L37" s="68"/>
    </row>
    <row r="39" spans="1:12" ht="14.25" customHeight="1" x14ac:dyDescent="0.25">
      <c r="A39" s="565" t="s">
        <v>73</v>
      </c>
      <c r="B39" s="565"/>
      <c r="C39" s="565"/>
      <c r="D39" s="565"/>
      <c r="E39" s="565"/>
    </row>
    <row r="40" spans="1:12" ht="14.25" customHeight="1" x14ac:dyDescent="0.25">
      <c r="A40" s="566" t="s">
        <v>65</v>
      </c>
      <c r="B40" s="567" t="s">
        <v>74</v>
      </c>
      <c r="C40" s="567"/>
      <c r="D40" s="568" t="s">
        <v>63</v>
      </c>
      <c r="E40" s="568"/>
    </row>
    <row r="41" spans="1:12" ht="14.25" customHeight="1" x14ac:dyDescent="0.25">
      <c r="A41" s="566"/>
      <c r="B41" s="31" t="s">
        <v>75</v>
      </c>
      <c r="C41" s="30" t="s">
        <v>76</v>
      </c>
      <c r="D41" s="31" t="s">
        <v>75</v>
      </c>
      <c r="E41" s="32" t="s">
        <v>76</v>
      </c>
    </row>
    <row r="42" spans="1:12" ht="14.25" customHeight="1" x14ac:dyDescent="0.25">
      <c r="A42" s="56">
        <f t="shared" ref="A42:A53" si="3">A5</f>
        <v>45658</v>
      </c>
      <c r="B42" s="69">
        <v>1554213850</v>
      </c>
      <c r="C42" s="69">
        <v>745542910</v>
      </c>
      <c r="D42" s="70">
        <v>1E-3</v>
      </c>
      <c r="E42" s="70">
        <v>1E-3</v>
      </c>
    </row>
    <row r="43" spans="1:12" ht="14.25" customHeight="1" x14ac:dyDescent="0.25">
      <c r="A43" s="60">
        <f t="shared" si="3"/>
        <v>45689</v>
      </c>
      <c r="B43" s="71">
        <v>1267505400</v>
      </c>
      <c r="C43" s="71">
        <v>526697500</v>
      </c>
      <c r="D43" s="72">
        <v>1E-3</v>
      </c>
      <c r="E43" s="72">
        <v>1E-3</v>
      </c>
    </row>
    <row r="44" spans="1:12" ht="14.25" customHeight="1" x14ac:dyDescent="0.25">
      <c r="A44" s="60">
        <f t="shared" si="3"/>
        <v>45717</v>
      </c>
      <c r="B44" s="71">
        <v>0</v>
      </c>
      <c r="C44" s="71">
        <v>1555548100</v>
      </c>
      <c r="D44" s="72">
        <v>1E-3</v>
      </c>
      <c r="E44" s="72">
        <v>1E-3</v>
      </c>
    </row>
    <row r="45" spans="1:12" ht="14.25" customHeight="1" x14ac:dyDescent="0.25">
      <c r="A45" s="60">
        <f t="shared" si="3"/>
        <v>45748</v>
      </c>
      <c r="B45" s="71">
        <v>0</v>
      </c>
      <c r="C45" s="71">
        <v>1605781227</v>
      </c>
      <c r="D45" s="72">
        <v>1E-3</v>
      </c>
      <c r="E45" s="72">
        <v>1E-3</v>
      </c>
    </row>
    <row r="46" spans="1:12" ht="14.25" customHeight="1" x14ac:dyDescent="0.25">
      <c r="A46" s="60">
        <f t="shared" si="3"/>
        <v>45778</v>
      </c>
      <c r="B46" s="71">
        <v>1357855300</v>
      </c>
      <c r="C46" s="71">
        <v>854542040</v>
      </c>
      <c r="D46" s="72">
        <v>1E-3</v>
      </c>
      <c r="E46" s="72">
        <v>1E-3</v>
      </c>
    </row>
    <row r="47" spans="1:12" ht="14.25" customHeight="1" x14ac:dyDescent="0.25">
      <c r="A47" s="60">
        <f t="shared" si="3"/>
        <v>45809</v>
      </c>
      <c r="B47" s="71">
        <v>522307994.19999999</v>
      </c>
      <c r="C47" s="71">
        <v>1132051705.97</v>
      </c>
      <c r="D47" s="72">
        <v>1E-3</v>
      </c>
      <c r="E47" s="72">
        <v>1E-3</v>
      </c>
    </row>
    <row r="48" spans="1:12" ht="14.25" customHeight="1" x14ac:dyDescent="0.25">
      <c r="A48" s="60">
        <f t="shared" si="3"/>
        <v>45839</v>
      </c>
      <c r="B48" s="73">
        <v>1422853380</v>
      </c>
      <c r="C48" s="73">
        <v>661591230</v>
      </c>
      <c r="D48" s="74">
        <v>1E-4</v>
      </c>
      <c r="E48" s="74">
        <v>1E-3</v>
      </c>
    </row>
    <row r="49" spans="1:5" ht="14.25" customHeight="1" x14ac:dyDescent="0.25">
      <c r="A49" s="60">
        <f t="shared" si="3"/>
        <v>45870</v>
      </c>
      <c r="B49" s="73">
        <v>2189928000</v>
      </c>
      <c r="C49" s="73">
        <v>1737847350</v>
      </c>
      <c r="D49" s="74">
        <v>1E-3</v>
      </c>
      <c r="E49" s="74">
        <v>1E-3</v>
      </c>
    </row>
    <row r="50" spans="1:5" ht="14.25" customHeight="1" x14ac:dyDescent="0.25">
      <c r="A50" s="60">
        <f t="shared" si="3"/>
        <v>45901</v>
      </c>
      <c r="B50" s="73">
        <v>2168538000</v>
      </c>
      <c r="C50" s="73">
        <v>1802932000</v>
      </c>
      <c r="D50" s="74">
        <v>1E-3</v>
      </c>
      <c r="E50" s="74">
        <v>1E-3</v>
      </c>
    </row>
    <row r="51" spans="1:5" ht="14.25" customHeight="1" x14ac:dyDescent="0.25">
      <c r="A51" s="60">
        <f t="shared" si="3"/>
        <v>45931</v>
      </c>
      <c r="B51" s="73">
        <v>2250942444</v>
      </c>
      <c r="C51" s="73">
        <v>1871443416</v>
      </c>
      <c r="D51" s="74">
        <v>6.8999999999999997E-4</v>
      </c>
      <c r="E51" s="74">
        <v>6.8999999999999997E-4</v>
      </c>
    </row>
    <row r="52" spans="1:5" ht="14.25" customHeight="1" x14ac:dyDescent="0.25">
      <c r="A52" s="60">
        <f t="shared" si="3"/>
        <v>45962</v>
      </c>
      <c r="B52" s="73">
        <v>1824088440</v>
      </c>
      <c r="C52" s="73">
        <v>1252750380</v>
      </c>
      <c r="D52" s="74">
        <v>8.0000000000000004E-4</v>
      </c>
      <c r="E52" s="74">
        <v>8.0000000000000004E-4</v>
      </c>
    </row>
    <row r="53" spans="1:5" ht="14.25" customHeight="1" x14ac:dyDescent="0.25">
      <c r="A53" s="63">
        <f t="shared" si="3"/>
        <v>45992</v>
      </c>
      <c r="B53" s="75">
        <v>1158591780</v>
      </c>
      <c r="C53" s="75">
        <v>314048870</v>
      </c>
      <c r="D53" s="76">
        <v>8.0000000000000004E-4</v>
      </c>
      <c r="E53" s="76">
        <v>8.0000000000000004E-4</v>
      </c>
    </row>
    <row r="54" spans="1:5" ht="14.25" customHeight="1" x14ac:dyDescent="0.25">
      <c r="A54" s="25" t="s">
        <v>77</v>
      </c>
      <c r="B54" s="77">
        <f>SUM(B42:B53)</f>
        <v>15716824588.200001</v>
      </c>
      <c r="C54" s="77">
        <f>SUM(C42:C53)</f>
        <v>14060776728.970001</v>
      </c>
      <c r="D54" s="78">
        <f>SUM(D42:D53)</f>
        <v>1.039E-2</v>
      </c>
      <c r="E54" s="78">
        <f>SUM(E42:E53)</f>
        <v>1.1290000000000001E-2</v>
      </c>
    </row>
  </sheetData>
  <mergeCells count="11">
    <mergeCell ref="A39:E39"/>
    <mergeCell ref="A40:A41"/>
    <mergeCell ref="B40:C40"/>
    <mergeCell ref="D40:E40"/>
    <mergeCell ref="A2:I2"/>
    <mergeCell ref="A3:E3"/>
    <mergeCell ref="F3:I3"/>
    <mergeCell ref="A21:E21"/>
    <mergeCell ref="A22:A23"/>
    <mergeCell ref="B22:C22"/>
    <mergeCell ref="D22:E2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8"/>
  <sheetViews>
    <sheetView zoomScaleNormal="100" workbookViewId="0">
      <selection activeCell="L24" sqref="L24"/>
    </sheetView>
  </sheetViews>
  <sheetFormatPr defaultColWidth="8.7109375" defaultRowHeight="12.75" x14ac:dyDescent="0.2"/>
  <cols>
    <col min="2" max="2" width="14.140625" customWidth="1"/>
    <col min="3" max="3" width="13.140625" customWidth="1"/>
    <col min="5" max="5" width="11.7109375" customWidth="1"/>
  </cols>
  <sheetData>
    <row r="1" spans="1:18" ht="14.25" customHeight="1" x14ac:dyDescent="0.2">
      <c r="A1" s="79"/>
      <c r="B1" s="571" t="s">
        <v>78</v>
      </c>
      <c r="C1" s="571"/>
      <c r="D1" s="571"/>
      <c r="E1" s="571"/>
      <c r="F1" s="571"/>
      <c r="G1" s="571"/>
      <c r="H1" s="571"/>
      <c r="I1" s="571"/>
      <c r="J1" s="571"/>
    </row>
    <row r="2" spans="1:18" ht="14.25" customHeight="1" x14ac:dyDescent="0.25">
      <c r="F2" s="81"/>
    </row>
    <row r="3" spans="1:18" ht="14.25" customHeight="1" x14ac:dyDescent="0.2">
      <c r="B3" t="s">
        <v>79</v>
      </c>
    </row>
    <row r="5" spans="1:18" ht="14.25" customHeight="1" x14ac:dyDescent="0.2">
      <c r="B5" t="s">
        <v>17</v>
      </c>
      <c r="C5" t="s">
        <v>80</v>
      </c>
    </row>
    <row r="6" spans="1:18" ht="14.25" customHeight="1" x14ac:dyDescent="0.2">
      <c r="B6" t="s">
        <v>41</v>
      </c>
      <c r="C6" t="s">
        <v>81</v>
      </c>
    </row>
    <row r="7" spans="1:18" ht="14.25" customHeight="1" x14ac:dyDescent="0.2">
      <c r="B7" t="s">
        <v>20</v>
      </c>
      <c r="C7" t="s">
        <v>82</v>
      </c>
    </row>
    <row r="8" spans="1:18" ht="14.25" customHeight="1" x14ac:dyDescent="0.2">
      <c r="B8" t="s">
        <v>22</v>
      </c>
      <c r="C8" t="s">
        <v>83</v>
      </c>
    </row>
    <row r="9" spans="1:18" ht="14.25" customHeight="1" x14ac:dyDescent="0.2">
      <c r="B9" t="s">
        <v>84</v>
      </c>
      <c r="C9" t="s">
        <v>85</v>
      </c>
    </row>
    <row r="10" spans="1:18" ht="14.25" customHeight="1" x14ac:dyDescent="0.25">
      <c r="B10" s="82" t="s">
        <v>23</v>
      </c>
      <c r="C10" t="s">
        <v>86</v>
      </c>
    </row>
    <row r="11" spans="1:18" ht="14.25" customHeight="1" x14ac:dyDescent="0.25">
      <c r="B11" s="82" t="s">
        <v>24</v>
      </c>
      <c r="C11" t="s">
        <v>87</v>
      </c>
    </row>
    <row r="12" spans="1:18" ht="14.25" customHeight="1" x14ac:dyDescent="0.2">
      <c r="R12">
        <f>(73.96+0.003*25+0.0006*298)*2.2046</f>
        <v>163.61174348</v>
      </c>
    </row>
    <row r="13" spans="1:18" ht="14.25" customHeight="1" x14ac:dyDescent="0.2">
      <c r="B13" t="s">
        <v>88</v>
      </c>
      <c r="C13" s="83">
        <f>'Costa Sur'!B36+'Costa Sur'!C36</f>
        <v>168455</v>
      </c>
      <c r="D13" t="s">
        <v>89</v>
      </c>
    </row>
    <row r="14" spans="1:18" ht="14.25" customHeight="1" x14ac:dyDescent="0.2">
      <c r="B14" s="84" t="s">
        <v>90</v>
      </c>
      <c r="C14" s="85">
        <f>MAX('Costa Sur'!D35:E35)</f>
        <v>0.01</v>
      </c>
    </row>
    <row r="17" spans="2:10" ht="14.25" customHeight="1" x14ac:dyDescent="0.2">
      <c r="B17" t="s">
        <v>91</v>
      </c>
    </row>
    <row r="19" spans="2:10" ht="14.25" customHeight="1" x14ac:dyDescent="0.25">
      <c r="B19" s="86" t="s">
        <v>92</v>
      </c>
      <c r="C19" s="87">
        <v>1.2E-2</v>
      </c>
      <c r="D19" s="88" t="s">
        <v>93</v>
      </c>
      <c r="E19" s="89">
        <f>C13</f>
        <v>168455</v>
      </c>
      <c r="F19" s="88" t="s">
        <v>94</v>
      </c>
      <c r="G19" s="87">
        <v>0.13800000000000001</v>
      </c>
      <c r="H19" s="88" t="s">
        <v>95</v>
      </c>
      <c r="I19" s="572" t="s">
        <v>96</v>
      </c>
      <c r="J19" s="572"/>
    </row>
    <row r="20" spans="2:10" ht="14.25" customHeight="1" x14ac:dyDescent="0.2">
      <c r="C20" s="573" t="s">
        <v>95</v>
      </c>
      <c r="D20" s="573"/>
      <c r="E20" s="573" t="s">
        <v>97</v>
      </c>
      <c r="F20" s="573"/>
      <c r="G20" s="573" t="s">
        <v>94</v>
      </c>
      <c r="H20" s="573"/>
      <c r="I20" s="90">
        <v>2000</v>
      </c>
      <c r="J20" s="91" t="s">
        <v>93</v>
      </c>
    </row>
    <row r="23" spans="2:10" ht="14.25" customHeight="1" x14ac:dyDescent="0.25">
      <c r="B23" s="86" t="s">
        <v>92</v>
      </c>
      <c r="C23" s="92">
        <f>C19*E19*G19/I20</f>
        <v>0.13948074000000002</v>
      </c>
      <c r="D23" s="93" t="s">
        <v>96</v>
      </c>
      <c r="E23" s="94" t="s">
        <v>92</v>
      </c>
      <c r="F23" s="95">
        <f>C23*2000/8760</f>
        <v>3.1844917808219186E-2</v>
      </c>
      <c r="G23" s="88" t="s">
        <v>93</v>
      </c>
    </row>
    <row r="24" spans="2:10" ht="14.25" customHeight="1" x14ac:dyDescent="0.25">
      <c r="D24" s="563" t="s">
        <v>97</v>
      </c>
      <c r="G24" s="96" t="s">
        <v>98</v>
      </c>
    </row>
    <row r="26" spans="2:10" ht="14.25" customHeight="1" x14ac:dyDescent="0.2">
      <c r="B26" t="s">
        <v>99</v>
      </c>
    </row>
    <row r="28" spans="2:10" ht="14.25" customHeight="1" x14ac:dyDescent="0.25">
      <c r="B28" s="86" t="s">
        <v>92</v>
      </c>
      <c r="C28" s="97">
        <f>1.01*C14</f>
        <v>1.01E-2</v>
      </c>
      <c r="D28" s="88" t="s">
        <v>93</v>
      </c>
      <c r="E28" s="89">
        <f>E19</f>
        <v>168455</v>
      </c>
      <c r="F28" s="88" t="s">
        <v>94</v>
      </c>
      <c r="G28" s="87">
        <v>0.13800000000000001</v>
      </c>
      <c r="H28" s="88" t="s">
        <v>95</v>
      </c>
      <c r="I28" s="572" t="s">
        <v>96</v>
      </c>
      <c r="J28" s="572"/>
    </row>
    <row r="29" spans="2:10" ht="14.25" customHeight="1" x14ac:dyDescent="0.2">
      <c r="C29" s="573" t="s">
        <v>95</v>
      </c>
      <c r="D29" s="573"/>
      <c r="E29" s="573" t="s">
        <v>97</v>
      </c>
      <c r="F29" s="573"/>
      <c r="G29" s="573" t="s">
        <v>94</v>
      </c>
      <c r="H29" s="573"/>
      <c r="I29" s="90">
        <v>2000</v>
      </c>
      <c r="J29" s="91" t="s">
        <v>93</v>
      </c>
    </row>
    <row r="32" spans="2:10" ht="14.25" customHeight="1" x14ac:dyDescent="0.25">
      <c r="B32" s="86" t="s">
        <v>92</v>
      </c>
      <c r="C32" s="92">
        <f>C28*E28*G28/I29</f>
        <v>0.1173962895</v>
      </c>
      <c r="D32" s="93" t="s">
        <v>96</v>
      </c>
      <c r="E32" s="94" t="s">
        <v>92</v>
      </c>
      <c r="F32" s="95">
        <f>C32*2000/8760</f>
        <v>2.6802805821917807E-2</v>
      </c>
      <c r="G32" s="88" t="s">
        <v>93</v>
      </c>
    </row>
    <row r="33" spans="2:10" ht="14.25" customHeight="1" x14ac:dyDescent="0.25">
      <c r="D33" s="563" t="s">
        <v>97</v>
      </c>
      <c r="G33" s="96" t="s">
        <v>98</v>
      </c>
    </row>
    <row r="35" spans="2:10" ht="14.25" customHeight="1" x14ac:dyDescent="0.2">
      <c r="B35" t="s">
        <v>100</v>
      </c>
    </row>
    <row r="37" spans="2:10" ht="14.25" customHeight="1" x14ac:dyDescent="0.25">
      <c r="B37" s="86" t="s">
        <v>92</v>
      </c>
      <c r="C37" s="87">
        <v>0.88</v>
      </c>
      <c r="D37" s="88" t="s">
        <v>93</v>
      </c>
      <c r="E37" s="89">
        <f>E19</f>
        <v>168455</v>
      </c>
      <c r="F37" s="88" t="s">
        <v>94</v>
      </c>
      <c r="G37" s="87">
        <v>0.13800000000000001</v>
      </c>
      <c r="H37" s="88" t="s">
        <v>95</v>
      </c>
      <c r="I37" s="572" t="s">
        <v>96</v>
      </c>
      <c r="J37" s="572"/>
    </row>
    <row r="38" spans="2:10" ht="14.25" customHeight="1" x14ac:dyDescent="0.2">
      <c r="C38" s="573" t="s">
        <v>95</v>
      </c>
      <c r="D38" s="573"/>
      <c r="E38" s="573" t="s">
        <v>97</v>
      </c>
      <c r="F38" s="573"/>
      <c r="G38" s="573" t="s">
        <v>94</v>
      </c>
      <c r="H38" s="573"/>
      <c r="I38" s="90">
        <v>2000</v>
      </c>
      <c r="J38" s="91" t="s">
        <v>93</v>
      </c>
    </row>
    <row r="41" spans="2:10" ht="14.25" customHeight="1" x14ac:dyDescent="0.25">
      <c r="B41" s="86" t="s">
        <v>92</v>
      </c>
      <c r="C41" s="92">
        <f>C37*E37*G37/I38</f>
        <v>10.228587600000001</v>
      </c>
      <c r="D41" s="93" t="s">
        <v>96</v>
      </c>
      <c r="E41" s="94" t="s">
        <v>92</v>
      </c>
      <c r="F41" s="95">
        <f>C41*2000/8760</f>
        <v>2.3352939726027397</v>
      </c>
      <c r="G41" s="88" t="s">
        <v>93</v>
      </c>
    </row>
    <row r="42" spans="2:10" ht="14.25" customHeight="1" x14ac:dyDescent="0.25">
      <c r="D42" s="563" t="s">
        <v>97</v>
      </c>
      <c r="G42" s="96" t="s">
        <v>98</v>
      </c>
    </row>
    <row r="43" spans="2:10" ht="14.25" customHeight="1" x14ac:dyDescent="0.25">
      <c r="D43" s="563"/>
      <c r="G43" s="96"/>
    </row>
    <row r="44" spans="2:10" ht="14.25" customHeight="1" x14ac:dyDescent="0.2">
      <c r="B44" t="s">
        <v>101</v>
      </c>
    </row>
    <row r="46" spans="2:10" ht="14.25" customHeight="1" x14ac:dyDescent="0.25">
      <c r="B46" s="86" t="s">
        <v>92</v>
      </c>
      <c r="C46" s="87">
        <v>4.0999999999999999E-4</v>
      </c>
      <c r="D46" s="88" t="s">
        <v>93</v>
      </c>
      <c r="E46" s="89">
        <f>E19</f>
        <v>168455</v>
      </c>
      <c r="F46" s="88" t="s">
        <v>94</v>
      </c>
      <c r="G46" s="87">
        <v>0.13800000000000001</v>
      </c>
      <c r="H46" s="88" t="s">
        <v>95</v>
      </c>
      <c r="I46" s="572" t="s">
        <v>96</v>
      </c>
      <c r="J46" s="572"/>
    </row>
    <row r="47" spans="2:10" ht="14.25" customHeight="1" x14ac:dyDescent="0.2">
      <c r="C47" s="573" t="s">
        <v>95</v>
      </c>
      <c r="D47" s="573"/>
      <c r="E47" s="573" t="s">
        <v>97</v>
      </c>
      <c r="F47" s="573"/>
      <c r="G47" s="573" t="s">
        <v>94</v>
      </c>
      <c r="H47" s="573"/>
      <c r="I47" s="90">
        <v>2000</v>
      </c>
      <c r="J47" s="91" t="s">
        <v>93</v>
      </c>
    </row>
    <row r="50" spans="2:10" ht="14.25" customHeight="1" x14ac:dyDescent="0.25">
      <c r="B50" s="86" t="s">
        <v>92</v>
      </c>
      <c r="C50" s="98">
        <f>C46*E46*G46/I47</f>
        <v>4.7655919500000001E-3</v>
      </c>
      <c r="D50" s="93" t="s">
        <v>96</v>
      </c>
      <c r="E50" s="94" t="s">
        <v>92</v>
      </c>
      <c r="F50" s="99">
        <f>C50*2000/8760</f>
        <v>1.088034691780822E-3</v>
      </c>
      <c r="G50" s="88" t="s">
        <v>93</v>
      </c>
    </row>
    <row r="51" spans="2:10" ht="14.25" customHeight="1" x14ac:dyDescent="0.25">
      <c r="D51" s="563" t="s">
        <v>97</v>
      </c>
      <c r="G51" s="96" t="s">
        <v>98</v>
      </c>
    </row>
    <row r="52" spans="2:10" ht="14.25" customHeight="1" x14ac:dyDescent="0.25">
      <c r="D52" s="563"/>
      <c r="G52" s="96"/>
    </row>
    <row r="53" spans="2:10" ht="14.25" customHeight="1" x14ac:dyDescent="0.2">
      <c r="B53" t="s">
        <v>102</v>
      </c>
    </row>
    <row r="55" spans="2:10" ht="14.25" customHeight="1" x14ac:dyDescent="0.25">
      <c r="B55" s="86" t="s">
        <v>92</v>
      </c>
      <c r="C55" s="87">
        <v>3.3E-3</v>
      </c>
      <c r="D55" s="88" t="s">
        <v>93</v>
      </c>
      <c r="E55" s="89">
        <f>E19</f>
        <v>168455</v>
      </c>
      <c r="F55" s="88" t="s">
        <v>94</v>
      </c>
      <c r="G55" s="87">
        <v>0.13800000000000001</v>
      </c>
      <c r="H55" s="88" t="s">
        <v>95</v>
      </c>
      <c r="I55" s="572" t="s">
        <v>96</v>
      </c>
      <c r="J55" s="572"/>
    </row>
    <row r="56" spans="2:10" ht="14.25" customHeight="1" x14ac:dyDescent="0.2">
      <c r="C56" s="573" t="s">
        <v>95</v>
      </c>
      <c r="D56" s="573"/>
      <c r="E56" s="573" t="s">
        <v>97</v>
      </c>
      <c r="F56" s="573"/>
      <c r="G56" s="573" t="s">
        <v>94</v>
      </c>
      <c r="H56" s="573"/>
      <c r="I56" s="90">
        <v>2000</v>
      </c>
      <c r="J56" s="91" t="s">
        <v>93</v>
      </c>
    </row>
    <row r="59" spans="2:10" ht="14.25" customHeight="1" x14ac:dyDescent="0.25">
      <c r="B59" s="86" t="s">
        <v>92</v>
      </c>
      <c r="C59" s="92">
        <f>C55*E55*G55/I56</f>
        <v>3.8357203499999999E-2</v>
      </c>
      <c r="D59" s="93" t="s">
        <v>96</v>
      </c>
      <c r="E59" s="94" t="s">
        <v>92</v>
      </c>
      <c r="F59" s="95">
        <f>C59*2000/8760</f>
        <v>8.7573523972602728E-3</v>
      </c>
      <c r="G59" s="88" t="s">
        <v>93</v>
      </c>
    </row>
    <row r="60" spans="2:10" ht="14.25" customHeight="1" x14ac:dyDescent="0.25">
      <c r="D60" s="563" t="s">
        <v>97</v>
      </c>
      <c r="G60" s="96" t="s">
        <v>98</v>
      </c>
    </row>
    <row r="62" spans="2:10" ht="14.25" customHeight="1" x14ac:dyDescent="0.2">
      <c r="B62" t="s">
        <v>103</v>
      </c>
    </row>
    <row r="64" spans="2:10" ht="14.25" customHeight="1" x14ac:dyDescent="0.25">
      <c r="B64" s="86" t="s">
        <v>92</v>
      </c>
      <c r="C64" s="87">
        <v>1.4E-5</v>
      </c>
      <c r="D64" s="88" t="s">
        <v>93</v>
      </c>
      <c r="E64" s="89">
        <f>E19</f>
        <v>168455</v>
      </c>
      <c r="F64" s="88" t="s">
        <v>94</v>
      </c>
      <c r="G64" s="87">
        <v>0.13800000000000001</v>
      </c>
      <c r="H64" s="88" t="s">
        <v>95</v>
      </c>
      <c r="I64" s="572" t="s">
        <v>96</v>
      </c>
      <c r="J64" s="572"/>
    </row>
    <row r="65" spans="2:10" ht="14.25" customHeight="1" x14ac:dyDescent="0.2">
      <c r="C65" s="573" t="s">
        <v>95</v>
      </c>
      <c r="D65" s="573"/>
      <c r="E65" s="573" t="s">
        <v>97</v>
      </c>
      <c r="F65" s="573"/>
      <c r="G65" s="573" t="s">
        <v>94</v>
      </c>
      <c r="H65" s="573"/>
      <c r="I65" s="90">
        <v>2000</v>
      </c>
      <c r="J65" s="91" t="s">
        <v>93</v>
      </c>
    </row>
    <row r="68" spans="2:10" ht="14.25" customHeight="1" x14ac:dyDescent="0.25">
      <c r="B68" s="86" t="s">
        <v>92</v>
      </c>
      <c r="C68" s="100">
        <f>C64*E64*G64/I65</f>
        <v>1.6272753000000001E-4</v>
      </c>
      <c r="D68" s="93" t="s">
        <v>96</v>
      </c>
      <c r="E68" s="94" t="s">
        <v>92</v>
      </c>
      <c r="F68" s="101">
        <f>C68*2000/8760</f>
        <v>3.7152404109589046E-5</v>
      </c>
      <c r="G68" s="88" t="s">
        <v>93</v>
      </c>
    </row>
    <row r="69" spans="2:10" ht="14.25" customHeight="1" x14ac:dyDescent="0.25">
      <c r="D69" s="563" t="s">
        <v>97</v>
      </c>
      <c r="G69" s="96" t="s">
        <v>98</v>
      </c>
    </row>
    <row r="71" spans="2:10" ht="14.25" customHeight="1" x14ac:dyDescent="0.2">
      <c r="B71" t="s">
        <v>104</v>
      </c>
    </row>
    <row r="73" spans="2:10" ht="14.25" customHeight="1" x14ac:dyDescent="0.25">
      <c r="B73" s="86" t="s">
        <v>92</v>
      </c>
      <c r="C73" s="102">
        <f>R12</f>
        <v>163.61174348</v>
      </c>
      <c r="D73" s="88" t="s">
        <v>93</v>
      </c>
      <c r="E73" s="89">
        <f>E19</f>
        <v>168455</v>
      </c>
      <c r="F73" s="88" t="s">
        <v>94</v>
      </c>
      <c r="G73" s="87">
        <v>0.13800000000000001</v>
      </c>
      <c r="H73" s="88" t="s">
        <v>95</v>
      </c>
      <c r="I73" s="572" t="s">
        <v>96</v>
      </c>
      <c r="J73" s="572"/>
    </row>
    <row r="74" spans="2:10" ht="14.25" customHeight="1" x14ac:dyDescent="0.2">
      <c r="C74" s="573" t="s">
        <v>95</v>
      </c>
      <c r="D74" s="573"/>
      <c r="E74" s="573" t="s">
        <v>97</v>
      </c>
      <c r="F74" s="573"/>
      <c r="G74" s="573" t="s">
        <v>94</v>
      </c>
      <c r="H74" s="573"/>
      <c r="I74" s="90">
        <v>2000</v>
      </c>
      <c r="J74" s="91" t="s">
        <v>93</v>
      </c>
    </row>
    <row r="77" spans="2:10" ht="14.25" customHeight="1" x14ac:dyDescent="0.25">
      <c r="B77" s="86" t="s">
        <v>92</v>
      </c>
      <c r="C77" s="100">
        <f>C73*E73*G73/I74</f>
        <v>1901.7239211067147</v>
      </c>
      <c r="D77" s="93" t="s">
        <v>96</v>
      </c>
      <c r="E77" s="94" t="s">
        <v>92</v>
      </c>
      <c r="F77" s="101">
        <f>C77*2000/8760</f>
        <v>434.18354363167003</v>
      </c>
      <c r="G77" s="88" t="s">
        <v>93</v>
      </c>
    </row>
    <row r="78" spans="2:10" ht="14.25" customHeight="1" x14ac:dyDescent="0.25">
      <c r="D78" s="563" t="s">
        <v>97</v>
      </c>
      <c r="G78" s="96" t="s">
        <v>98</v>
      </c>
    </row>
  </sheetData>
  <mergeCells count="29">
    <mergeCell ref="C65:D65"/>
    <mergeCell ref="E65:F65"/>
    <mergeCell ref="G65:H65"/>
    <mergeCell ref="I73:J73"/>
    <mergeCell ref="C74:D74"/>
    <mergeCell ref="E74:F74"/>
    <mergeCell ref="G74:H74"/>
    <mergeCell ref="I55:J55"/>
    <mergeCell ref="C56:D56"/>
    <mergeCell ref="E56:F56"/>
    <mergeCell ref="G56:H56"/>
    <mergeCell ref="I64:J64"/>
    <mergeCell ref="C38:D38"/>
    <mergeCell ref="E38:F38"/>
    <mergeCell ref="G38:H38"/>
    <mergeCell ref="I46:J46"/>
    <mergeCell ref="C47:D47"/>
    <mergeCell ref="E47:F47"/>
    <mergeCell ref="G47:H47"/>
    <mergeCell ref="I28:J28"/>
    <mergeCell ref="C29:D29"/>
    <mergeCell ref="E29:F29"/>
    <mergeCell ref="G29:H29"/>
    <mergeCell ref="I37:J37"/>
    <mergeCell ref="B1:J1"/>
    <mergeCell ref="I19:J19"/>
    <mergeCell ref="C20:D20"/>
    <mergeCell ref="E20:F20"/>
    <mergeCell ref="G20:H2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83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2" width="18.28515625" customWidth="1"/>
    <col min="3" max="3" width="16.5703125" customWidth="1"/>
    <col min="4" max="4" width="12.42578125" customWidth="1"/>
    <col min="5" max="5" width="11.5703125" customWidth="1"/>
    <col min="6" max="6" width="13.5703125" customWidth="1"/>
    <col min="7" max="7" width="4.85546875" customWidth="1"/>
    <col min="8" max="8" width="8.42578125" customWidth="1"/>
    <col min="9" max="9" width="8.28515625" customWidth="1"/>
    <col min="10" max="10" width="5.5703125" customWidth="1"/>
    <col min="11" max="11" width="3.42578125" customWidth="1"/>
    <col min="12" max="12" width="6.5703125" customWidth="1"/>
    <col min="13" max="13" width="13.7109375" customWidth="1"/>
    <col min="14" max="14" width="8.5703125" customWidth="1"/>
    <col min="15" max="15" width="9.140625" customWidth="1"/>
    <col min="16" max="16" width="8.28515625" customWidth="1"/>
    <col min="17" max="17" width="1.7109375" customWidth="1"/>
    <col min="18" max="18" width="8" customWidth="1"/>
    <col min="19" max="19" width="8.28515625" customWidth="1"/>
    <col min="20" max="20" width="5.5703125" customWidth="1"/>
    <col min="21" max="21" width="3.42578125" customWidth="1"/>
    <col min="23" max="23" width="12" customWidth="1"/>
  </cols>
  <sheetData>
    <row r="1" spans="1:24" ht="14.25" customHeight="1" x14ac:dyDescent="0.2">
      <c r="A1" s="574" t="s">
        <v>105</v>
      </c>
      <c r="B1" s="574"/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</row>
    <row r="2" spans="1:24" ht="14.25" customHeight="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24" ht="52.5" customHeight="1" x14ac:dyDescent="0.2">
      <c r="A3" s="104" t="s">
        <v>106</v>
      </c>
      <c r="B3" s="105" t="s">
        <v>107</v>
      </c>
      <c r="C3" s="105" t="s">
        <v>108</v>
      </c>
      <c r="D3" s="106" t="s">
        <v>109</v>
      </c>
      <c r="E3" s="106" t="s">
        <v>110</v>
      </c>
      <c r="M3" s="103"/>
      <c r="N3" s="103"/>
      <c r="O3" s="103"/>
      <c r="P3" s="103"/>
    </row>
    <row r="4" spans="1:24" ht="14.25" customHeight="1" x14ac:dyDescent="0.2">
      <c r="A4" s="107" t="s">
        <v>20</v>
      </c>
      <c r="B4" s="108">
        <v>0.35</v>
      </c>
      <c r="C4" s="108">
        <v>0.35</v>
      </c>
      <c r="D4" s="109">
        <f>B23</f>
        <v>3605.1439911774</v>
      </c>
      <c r="E4" s="110">
        <f>F23</f>
        <v>823.09223542863015</v>
      </c>
      <c r="J4" s="111"/>
      <c r="K4" s="112"/>
      <c r="L4" s="112"/>
      <c r="M4" s="103"/>
      <c r="N4" s="103"/>
      <c r="O4" s="103"/>
      <c r="P4" s="103"/>
    </row>
    <row r="5" spans="1:24" ht="14.25" customHeight="1" x14ac:dyDescent="0.2">
      <c r="A5" s="113" t="s">
        <v>21</v>
      </c>
      <c r="B5" s="114">
        <v>8.9999999999999993E-3</v>
      </c>
      <c r="C5" s="115">
        <v>3.8E-3</v>
      </c>
      <c r="D5" s="116">
        <f>B29</f>
        <v>81.639857019276008</v>
      </c>
      <c r="E5" s="117">
        <f>F29</f>
        <v>18.639236762391782</v>
      </c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24" ht="14.25" customHeight="1" x14ac:dyDescent="0.2">
      <c r="A6" s="113" t="s">
        <v>22</v>
      </c>
      <c r="B6" s="114">
        <v>8.0000000000000004E-4</v>
      </c>
      <c r="C6" s="114">
        <v>1.2999999999999999E-3</v>
      </c>
      <c r="D6" s="116">
        <f>B35</f>
        <v>9.3041604314412005</v>
      </c>
      <c r="E6" s="117">
        <f>F35</f>
        <v>2.1242375414249315</v>
      </c>
      <c r="F6" s="575" t="s">
        <v>111</v>
      </c>
      <c r="G6" s="575"/>
      <c r="H6" s="575"/>
      <c r="I6" s="575"/>
      <c r="J6" s="575"/>
      <c r="K6" s="575"/>
      <c r="L6" s="575"/>
      <c r="M6" s="575"/>
      <c r="N6" s="575"/>
      <c r="O6" s="118"/>
      <c r="P6" s="118"/>
    </row>
    <row r="7" spans="1:24" ht="14.25" customHeight="1" x14ac:dyDescent="0.2">
      <c r="A7" s="113" t="s">
        <v>17</v>
      </c>
      <c r="B7" s="114">
        <v>5.0000000000000001E-3</v>
      </c>
      <c r="C7" s="115">
        <v>2.75E-2</v>
      </c>
      <c r="D7" s="116">
        <f>B41</f>
        <v>99.374465910569995</v>
      </c>
      <c r="E7" s="117">
        <f>F41</f>
        <v>22.688234226157533</v>
      </c>
      <c r="F7" s="119" t="s">
        <v>112</v>
      </c>
      <c r="G7" s="120" t="s">
        <v>113</v>
      </c>
      <c r="I7" s="120"/>
      <c r="J7" s="120"/>
      <c r="K7" s="120"/>
      <c r="L7" s="120"/>
      <c r="M7" s="120"/>
      <c r="N7" s="120"/>
      <c r="O7" s="120"/>
      <c r="P7" s="120"/>
    </row>
    <row r="8" spans="1:24" ht="14.25" customHeight="1" x14ac:dyDescent="0.2">
      <c r="A8" s="113" t="s">
        <v>18</v>
      </c>
      <c r="B8" s="114">
        <v>8.0999999999999996E-3</v>
      </c>
      <c r="C8" s="115">
        <v>0.04</v>
      </c>
      <c r="D8" s="116">
        <f>B47</f>
        <v>151.30576986549841</v>
      </c>
      <c r="E8" s="121">
        <f>F47</f>
        <v>34.544696316323837</v>
      </c>
      <c r="F8" s="122"/>
      <c r="G8" s="120" t="s">
        <v>114</v>
      </c>
      <c r="H8" s="120"/>
      <c r="I8" s="120"/>
      <c r="J8" s="120"/>
      <c r="K8" s="120"/>
      <c r="L8" s="120"/>
      <c r="M8" s="120"/>
      <c r="N8" s="120"/>
      <c r="O8" s="120"/>
    </row>
    <row r="9" spans="1:24" ht="14.25" customHeight="1" x14ac:dyDescent="0.2">
      <c r="A9" s="113" t="s">
        <v>40</v>
      </c>
      <c r="B9" s="114">
        <v>7.4999999999999997E-3</v>
      </c>
      <c r="C9" s="115">
        <v>3.3000000000000002E-2</v>
      </c>
      <c r="D9" s="116">
        <f>B53</f>
        <v>131.50848227148001</v>
      </c>
      <c r="E9" s="117">
        <f>F53</f>
        <v>30.02476764189041</v>
      </c>
      <c r="F9" s="123"/>
      <c r="G9" s="120" t="s">
        <v>115</v>
      </c>
      <c r="H9" s="120"/>
      <c r="I9" s="120"/>
      <c r="J9" s="120"/>
      <c r="K9" s="120"/>
      <c r="L9" s="120"/>
      <c r="M9" s="120"/>
      <c r="N9" s="120"/>
      <c r="O9" s="120"/>
    </row>
    <row r="10" spans="1:24" ht="14.25" customHeight="1" x14ac:dyDescent="0.25">
      <c r="A10" s="113" t="s">
        <v>19</v>
      </c>
      <c r="B10" s="114">
        <v>4.0000000000000001E-3</v>
      </c>
      <c r="C10" s="115" t="s">
        <v>116</v>
      </c>
      <c r="D10" s="116">
        <f>B59</f>
        <v>1116.4750511064562</v>
      </c>
      <c r="E10" s="117">
        <f>F59</f>
        <v>254.90297970467037</v>
      </c>
      <c r="F10" s="123"/>
      <c r="G10" s="123"/>
      <c r="H10" s="122"/>
      <c r="I10" s="122"/>
      <c r="J10" s="122"/>
      <c r="K10" s="122"/>
      <c r="L10" s="122"/>
      <c r="M10" s="122"/>
      <c r="N10" s="122"/>
      <c r="O10" s="122"/>
      <c r="P10" s="122"/>
      <c r="V10" s="124"/>
      <c r="W10" s="124"/>
      <c r="X10" s="124"/>
    </row>
    <row r="11" spans="1:24" ht="14.25" customHeight="1" x14ac:dyDescent="0.25">
      <c r="A11" s="113" t="s">
        <v>42</v>
      </c>
      <c r="B11" s="114">
        <v>4.2999999999999999E-4</v>
      </c>
      <c r="C11" s="115">
        <v>2.2589999999999999E-2</v>
      </c>
      <c r="D11" s="116">
        <f>B65</f>
        <v>51.578180507246522</v>
      </c>
      <c r="E11" s="117">
        <f>F65</f>
        <v>11.775840298458109</v>
      </c>
      <c r="F11" s="125" t="s">
        <v>117</v>
      </c>
      <c r="G11" s="120" t="s">
        <v>118</v>
      </c>
      <c r="H11" s="120"/>
      <c r="I11" s="120"/>
      <c r="J11" s="120"/>
      <c r="K11" s="120"/>
      <c r="L11" s="120"/>
      <c r="N11" s="122"/>
      <c r="O11" s="122"/>
      <c r="P11" s="122"/>
      <c r="V11" s="124" t="s">
        <v>24</v>
      </c>
      <c r="W11" s="124">
        <f>(157765.7+153.2+365.3)*2204.6/13621578</f>
        <v>25.617688884503689</v>
      </c>
      <c r="X11" s="124" t="s">
        <v>119</v>
      </c>
    </row>
    <row r="12" spans="1:24" ht="14.25" customHeight="1" x14ac:dyDescent="0.25">
      <c r="A12" s="113" t="s">
        <v>23</v>
      </c>
      <c r="B12" s="114">
        <v>0</v>
      </c>
      <c r="C12" s="126">
        <v>4.6299999999999997E-6</v>
      </c>
      <c r="D12" s="116">
        <f>B71</f>
        <v>9.8510779190249999E-3</v>
      </c>
      <c r="E12" s="117">
        <f>F71</f>
        <v>2.2491045477226025E-3</v>
      </c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V12" s="124"/>
      <c r="W12" s="124">
        <f>(989989.8+466.4+556)*2204.62/18132099995</f>
        <v>0.12049378268189943</v>
      </c>
      <c r="X12" s="124" t="s">
        <v>120</v>
      </c>
    </row>
    <row r="13" spans="1:24" ht="14.25" customHeight="1" x14ac:dyDescent="0.25">
      <c r="A13" s="113" t="s">
        <v>24</v>
      </c>
      <c r="B13" s="114" t="s">
        <v>121</v>
      </c>
      <c r="C13" s="114" t="s">
        <v>122</v>
      </c>
      <c r="D13" s="127">
        <f>B77</f>
        <v>1310261.8164320774</v>
      </c>
      <c r="E13" s="128">
        <f>F77</f>
        <v>299146.53343198111</v>
      </c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V13" s="124"/>
      <c r="W13" s="124"/>
      <c r="X13" s="124"/>
    </row>
    <row r="14" spans="1:24" ht="14.25" customHeight="1" x14ac:dyDescent="0.2">
      <c r="A14" s="129" t="s">
        <v>43</v>
      </c>
      <c r="B14" s="130">
        <v>0</v>
      </c>
      <c r="C14" s="131">
        <v>0</v>
      </c>
      <c r="D14" s="132">
        <v>0</v>
      </c>
      <c r="E14" s="133">
        <v>0</v>
      </c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24" ht="14.25" customHeight="1" x14ac:dyDescent="0.2">
      <c r="A15" s="134"/>
      <c r="B15" s="134"/>
      <c r="C15" s="134"/>
      <c r="D15" s="134"/>
      <c r="E15" s="111"/>
      <c r="H15" s="103"/>
      <c r="I15" s="103"/>
      <c r="J15" s="103"/>
      <c r="K15" s="103"/>
      <c r="L15" s="103"/>
      <c r="M15" s="103"/>
      <c r="N15" s="103"/>
      <c r="O15" s="103"/>
      <c r="P15" s="103"/>
    </row>
    <row r="16" spans="1:24" ht="14.25" customHeight="1" x14ac:dyDescent="0.2">
      <c r="A16" s="135" t="s">
        <v>123</v>
      </c>
      <c r="B16" s="136">
        <f>SUM('Costa Sur'!D17)</f>
        <v>28368834.900000002</v>
      </c>
      <c r="C16" s="136"/>
      <c r="D16" s="137" t="s">
        <v>89</v>
      </c>
      <c r="H16" s="103"/>
      <c r="I16" s="103"/>
      <c r="J16" s="103"/>
      <c r="K16" s="103"/>
      <c r="L16" s="103"/>
      <c r="M16" s="103"/>
      <c r="N16" s="103"/>
      <c r="O16" s="103"/>
      <c r="P16" s="103"/>
    </row>
    <row r="17" spans="1:21" ht="14.25" customHeight="1" x14ac:dyDescent="0.2">
      <c r="A17" s="138" t="s">
        <v>124</v>
      </c>
      <c r="B17" s="139">
        <f>SUM('Costa Sur'!B54)</f>
        <v>15716824588.200001</v>
      </c>
      <c r="C17" s="139"/>
      <c r="D17" s="112" t="s">
        <v>125</v>
      </c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</row>
    <row r="18" spans="1:21" ht="14.25" customHeight="1" x14ac:dyDescent="0.25">
      <c r="A18" s="86" t="s">
        <v>126</v>
      </c>
      <c r="B18" s="140">
        <f>SUM('Costa Sur'!H17)</f>
        <v>0.48666666666666675</v>
      </c>
      <c r="D18" t="s">
        <v>127</v>
      </c>
      <c r="M18" s="103"/>
      <c r="N18" s="103"/>
      <c r="O18" s="103"/>
      <c r="P18" s="103"/>
    </row>
    <row r="19" spans="1:21" ht="14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</row>
    <row r="20" spans="1:21" ht="14.25" customHeight="1" x14ac:dyDescent="0.2">
      <c r="A20" s="141" t="s">
        <v>128</v>
      </c>
      <c r="B20" s="142">
        <f>B16</f>
        <v>28368834.900000002</v>
      </c>
      <c r="C20" s="143"/>
      <c r="D20" s="144" t="s">
        <v>129</v>
      </c>
      <c r="E20" s="145">
        <v>0.15</v>
      </c>
      <c r="F20" s="146" t="s">
        <v>130</v>
      </c>
      <c r="G20" s="576" t="s">
        <v>131</v>
      </c>
      <c r="H20" s="148">
        <f>C4</f>
        <v>0.35</v>
      </c>
      <c r="I20" s="149" t="s">
        <v>132</v>
      </c>
      <c r="J20" s="148">
        <v>1</v>
      </c>
      <c r="K20" s="148" t="s">
        <v>96</v>
      </c>
      <c r="L20" s="150" t="s">
        <v>133</v>
      </c>
      <c r="M20" s="151">
        <f>B17</f>
        <v>15716824588.200001</v>
      </c>
      <c r="N20" s="146" t="s">
        <v>134</v>
      </c>
      <c r="O20" s="142">
        <v>1040</v>
      </c>
      <c r="P20" s="144" t="s">
        <v>135</v>
      </c>
      <c r="Q20" s="576" t="s">
        <v>131</v>
      </c>
      <c r="R20" s="148">
        <f>B4</f>
        <v>0.35</v>
      </c>
      <c r="S20" s="149" t="s">
        <v>132</v>
      </c>
      <c r="T20" s="148">
        <v>1</v>
      </c>
      <c r="U20" s="148" t="s">
        <v>96</v>
      </c>
    </row>
    <row r="21" spans="1:21" ht="14.25" customHeight="1" x14ac:dyDescent="0.2">
      <c r="A21" s="123"/>
      <c r="B21" s="147"/>
      <c r="C21" s="123"/>
      <c r="D21" s="152" t="s">
        <v>65</v>
      </c>
      <c r="E21" s="123"/>
      <c r="F21" s="562" t="s">
        <v>94</v>
      </c>
      <c r="G21" s="576"/>
      <c r="H21" s="103"/>
      <c r="I21" s="153" t="s">
        <v>136</v>
      </c>
      <c r="J21" s="154">
        <v>2000</v>
      </c>
      <c r="K21" s="103" t="s">
        <v>137</v>
      </c>
      <c r="L21" s="123"/>
      <c r="M21" s="123"/>
      <c r="N21" s="152" t="s">
        <v>65</v>
      </c>
      <c r="O21" s="155">
        <v>1000000</v>
      </c>
      <c r="P21" s="152" t="s">
        <v>74</v>
      </c>
      <c r="Q21" s="576"/>
      <c r="R21" s="103"/>
      <c r="S21" s="153" t="s">
        <v>136</v>
      </c>
      <c r="T21" s="154">
        <v>2000</v>
      </c>
      <c r="U21" s="103" t="s">
        <v>137</v>
      </c>
    </row>
    <row r="22" spans="1:21" ht="14.2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</row>
    <row r="23" spans="1:21" ht="14.25" customHeight="1" x14ac:dyDescent="0.25">
      <c r="A23" s="141"/>
      <c r="B23" s="156">
        <f>(B20*E20*H20+M20*O20*R20/1000000)/2000</f>
        <v>3605.1439911774</v>
      </c>
      <c r="C23" s="156"/>
      <c r="D23" s="103" t="s">
        <v>138</v>
      </c>
      <c r="E23" s="141" t="s">
        <v>92</v>
      </c>
      <c r="F23" s="111">
        <f>B23*(2000/8760)</f>
        <v>823.09223542863015</v>
      </c>
      <c r="G23" s="103" t="s">
        <v>139</v>
      </c>
      <c r="H23" s="157"/>
      <c r="I23" s="103"/>
      <c r="J23" s="103"/>
      <c r="K23" s="103"/>
      <c r="L23" s="103"/>
      <c r="M23" s="103"/>
      <c r="N23" s="103"/>
      <c r="O23" s="103"/>
      <c r="P23" s="103"/>
    </row>
    <row r="24" spans="1:21" ht="10.5" customHeight="1" x14ac:dyDescent="0.2">
      <c r="A24" s="103"/>
      <c r="B24" s="103"/>
      <c r="C24" s="103"/>
      <c r="D24" s="103"/>
      <c r="E24" s="103"/>
      <c r="F24" s="103"/>
      <c r="G24" s="103"/>
      <c r="H24" s="158"/>
      <c r="I24" s="158"/>
      <c r="J24" s="158"/>
      <c r="K24" s="103"/>
      <c r="L24" s="103"/>
      <c r="M24" s="103"/>
      <c r="N24" s="103"/>
      <c r="O24" s="103"/>
      <c r="P24" s="103"/>
    </row>
    <row r="25" spans="1:21" ht="14.25" customHeight="1" x14ac:dyDescent="0.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</row>
    <row r="26" spans="1:21" ht="14.25" customHeight="1" x14ac:dyDescent="0.2">
      <c r="A26" s="141" t="s">
        <v>140</v>
      </c>
      <c r="B26" s="142">
        <f>B16</f>
        <v>28368834.900000002</v>
      </c>
      <c r="C26" s="143"/>
      <c r="D26" s="144" t="s">
        <v>129</v>
      </c>
      <c r="E26" s="145">
        <v>0.15</v>
      </c>
      <c r="F26" s="146" t="s">
        <v>130</v>
      </c>
      <c r="G26" s="576" t="s">
        <v>131</v>
      </c>
      <c r="H26" s="148">
        <f>C5</f>
        <v>3.8E-3</v>
      </c>
      <c r="I26" s="149" t="s">
        <v>132</v>
      </c>
      <c r="J26" s="148">
        <v>1</v>
      </c>
      <c r="K26" s="148" t="s">
        <v>96</v>
      </c>
      <c r="L26" s="150" t="s">
        <v>133</v>
      </c>
      <c r="M26" s="151">
        <f>B17</f>
        <v>15716824588.200001</v>
      </c>
      <c r="N26" s="144" t="s">
        <v>134</v>
      </c>
      <c r="O26" s="143">
        <v>1040</v>
      </c>
      <c r="P26" s="144" t="s">
        <v>135</v>
      </c>
      <c r="Q26" s="147" t="s">
        <v>131</v>
      </c>
      <c r="R26" s="148">
        <f>B5</f>
        <v>8.9999999999999993E-3</v>
      </c>
      <c r="S26" s="149" t="s">
        <v>132</v>
      </c>
      <c r="T26" s="159">
        <v>1</v>
      </c>
      <c r="U26" s="148" t="s">
        <v>96</v>
      </c>
    </row>
    <row r="27" spans="1:21" ht="14.25" customHeight="1" x14ac:dyDescent="0.2">
      <c r="A27" s="123"/>
      <c r="B27" s="147"/>
      <c r="C27" s="123"/>
      <c r="D27" s="152" t="s">
        <v>65</v>
      </c>
      <c r="E27" s="123"/>
      <c r="F27" s="160" t="s">
        <v>94</v>
      </c>
      <c r="G27" s="576"/>
      <c r="H27" s="103"/>
      <c r="I27" s="153" t="s">
        <v>136</v>
      </c>
      <c r="J27" s="154">
        <v>2000</v>
      </c>
      <c r="K27" s="103" t="s">
        <v>137</v>
      </c>
      <c r="L27" s="123"/>
      <c r="M27" s="123"/>
      <c r="N27" s="152" t="s">
        <v>65</v>
      </c>
      <c r="O27" s="161">
        <v>1000000</v>
      </c>
      <c r="P27" s="152" t="s">
        <v>74</v>
      </c>
      <c r="Q27" s="147"/>
      <c r="R27" s="103"/>
      <c r="S27" s="153" t="s">
        <v>136</v>
      </c>
      <c r="T27" s="162">
        <v>2000</v>
      </c>
      <c r="U27" s="103" t="s">
        <v>137</v>
      </c>
    </row>
    <row r="28" spans="1:21" ht="14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</row>
    <row r="29" spans="1:21" ht="14.25" customHeight="1" x14ac:dyDescent="0.2">
      <c r="A29" s="141"/>
      <c r="B29" s="156">
        <f>(B26*E26*H26+M26*O26*R26/1000000)/2000</f>
        <v>81.639857019276008</v>
      </c>
      <c r="C29" s="156"/>
      <c r="D29" s="103" t="s">
        <v>138</v>
      </c>
      <c r="E29" s="141" t="s">
        <v>92</v>
      </c>
      <c r="F29" s="111">
        <f>B29*(2000/8760)</f>
        <v>18.639236762391782</v>
      </c>
      <c r="G29" s="103" t="s">
        <v>139</v>
      </c>
      <c r="I29" s="103"/>
      <c r="J29" s="103"/>
      <c r="K29" s="103"/>
      <c r="L29" s="103"/>
      <c r="M29" s="103"/>
      <c r="N29" s="103"/>
      <c r="O29" s="103"/>
      <c r="P29" s="103"/>
    </row>
    <row r="30" spans="1:21" ht="11.25" customHeight="1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</row>
    <row r="31" spans="1:21" ht="14.25" customHeight="1" x14ac:dyDescent="0.2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</row>
    <row r="32" spans="1:21" ht="14.25" customHeight="1" x14ac:dyDescent="0.2">
      <c r="A32" s="141" t="s">
        <v>141</v>
      </c>
      <c r="B32" s="142">
        <f>B16</f>
        <v>28368834.900000002</v>
      </c>
      <c r="C32" s="143"/>
      <c r="D32" s="144" t="s">
        <v>129</v>
      </c>
      <c r="E32" s="145">
        <v>0.15</v>
      </c>
      <c r="F32" s="146" t="s">
        <v>130</v>
      </c>
      <c r="G32" s="576" t="s">
        <v>131</v>
      </c>
      <c r="H32" s="148">
        <f>C6</f>
        <v>1.2999999999999999E-3</v>
      </c>
      <c r="I32" s="149" t="s">
        <v>132</v>
      </c>
      <c r="J32" s="148">
        <v>1</v>
      </c>
      <c r="K32" s="148" t="s">
        <v>96</v>
      </c>
      <c r="L32" s="150" t="s">
        <v>133</v>
      </c>
      <c r="M32" s="151">
        <f>B17</f>
        <v>15716824588.200001</v>
      </c>
      <c r="N32" s="144" t="s">
        <v>134</v>
      </c>
      <c r="O32" s="143">
        <v>1040</v>
      </c>
      <c r="P32" s="144" t="s">
        <v>135</v>
      </c>
      <c r="Q32" s="147" t="s">
        <v>131</v>
      </c>
      <c r="R32" s="148">
        <f>B6</f>
        <v>8.0000000000000004E-4</v>
      </c>
      <c r="S32" s="149" t="s">
        <v>132</v>
      </c>
      <c r="T32" s="148">
        <v>1</v>
      </c>
      <c r="U32" s="148" t="s">
        <v>96</v>
      </c>
    </row>
    <row r="33" spans="1:21" ht="14.25" customHeight="1" x14ac:dyDescent="0.2">
      <c r="A33" s="123"/>
      <c r="B33" s="147"/>
      <c r="C33" s="123"/>
      <c r="D33" s="152" t="s">
        <v>65</v>
      </c>
      <c r="E33" s="123"/>
      <c r="F33" s="562" t="s">
        <v>94</v>
      </c>
      <c r="G33" s="576"/>
      <c r="H33" s="103"/>
      <c r="I33" s="153" t="s">
        <v>136</v>
      </c>
      <c r="J33" s="154">
        <v>2000</v>
      </c>
      <c r="K33" s="103" t="s">
        <v>137</v>
      </c>
      <c r="L33" s="123"/>
      <c r="M33" s="123"/>
      <c r="N33" s="152" t="s">
        <v>65</v>
      </c>
      <c r="O33" s="161">
        <v>1000000</v>
      </c>
      <c r="P33" s="152" t="s">
        <v>74</v>
      </c>
      <c r="Q33" s="147"/>
      <c r="R33" s="103"/>
      <c r="S33" s="153" t="s">
        <v>136</v>
      </c>
      <c r="T33" s="154">
        <v>2000</v>
      </c>
      <c r="U33" s="103" t="s">
        <v>137</v>
      </c>
    </row>
    <row r="34" spans="1:21" ht="14.25" customHeight="1" x14ac:dyDescent="0.2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</row>
    <row r="35" spans="1:21" ht="14.25" customHeight="1" x14ac:dyDescent="0.2">
      <c r="A35" s="141"/>
      <c r="B35" s="156">
        <f>(B32*E32*H32+M32*O32*R32/1000000)/2000</f>
        <v>9.3041604314412005</v>
      </c>
      <c r="C35" s="156"/>
      <c r="D35" s="103" t="s">
        <v>138</v>
      </c>
      <c r="E35" s="141" t="s">
        <v>92</v>
      </c>
      <c r="F35" s="111">
        <f>B35*(2000/8760)</f>
        <v>2.1242375414249315</v>
      </c>
      <c r="G35" s="103" t="s">
        <v>139</v>
      </c>
      <c r="I35" s="103"/>
      <c r="J35" s="103"/>
      <c r="K35" s="103"/>
      <c r="L35" s="103"/>
      <c r="M35" s="103"/>
      <c r="N35" s="103"/>
      <c r="O35" s="103"/>
      <c r="P35" s="103"/>
    </row>
    <row r="36" spans="1:21" ht="9.75" customHeight="1" x14ac:dyDescent="0.2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</row>
    <row r="37" spans="1:21" ht="14.25" customHeight="1" x14ac:dyDescent="0.2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</row>
    <row r="38" spans="1:21" ht="14.25" customHeight="1" x14ac:dyDescent="0.2">
      <c r="A38" s="141" t="s">
        <v>142</v>
      </c>
      <c r="B38" s="142">
        <f>B16</f>
        <v>28368834.900000002</v>
      </c>
      <c r="C38" s="143"/>
      <c r="D38" s="144" t="s">
        <v>129</v>
      </c>
      <c r="E38" s="145">
        <v>0.15</v>
      </c>
      <c r="F38" s="146" t="s">
        <v>130</v>
      </c>
      <c r="G38" s="576" t="s">
        <v>131</v>
      </c>
      <c r="H38" s="148">
        <f>C7</f>
        <v>2.75E-2</v>
      </c>
      <c r="I38" s="149" t="s">
        <v>132</v>
      </c>
      <c r="J38" s="148">
        <v>1</v>
      </c>
      <c r="K38" s="148" t="s">
        <v>96</v>
      </c>
      <c r="L38" s="150" t="s">
        <v>133</v>
      </c>
      <c r="M38" s="151">
        <f>B17</f>
        <v>15716824588.200001</v>
      </c>
      <c r="N38" s="144" t="s">
        <v>134</v>
      </c>
      <c r="O38" s="143">
        <v>1040</v>
      </c>
      <c r="P38" s="144" t="s">
        <v>135</v>
      </c>
      <c r="Q38" s="147" t="s">
        <v>131</v>
      </c>
      <c r="R38" s="148">
        <f>B7</f>
        <v>5.0000000000000001E-3</v>
      </c>
      <c r="S38" s="149" t="s">
        <v>132</v>
      </c>
      <c r="T38" s="148">
        <v>1</v>
      </c>
      <c r="U38" s="148" t="s">
        <v>96</v>
      </c>
    </row>
    <row r="39" spans="1:21" ht="14.25" customHeight="1" x14ac:dyDescent="0.2">
      <c r="A39" s="123"/>
      <c r="B39" s="147"/>
      <c r="C39" s="123"/>
      <c r="D39" s="152" t="s">
        <v>65</v>
      </c>
      <c r="E39" s="123"/>
      <c r="F39" s="562" t="s">
        <v>94</v>
      </c>
      <c r="G39" s="576"/>
      <c r="H39" s="103"/>
      <c r="I39" s="153" t="s">
        <v>136</v>
      </c>
      <c r="J39" s="154">
        <v>2000</v>
      </c>
      <c r="K39" s="103" t="s">
        <v>137</v>
      </c>
      <c r="L39" s="123"/>
      <c r="M39" s="123"/>
      <c r="N39" s="152" t="s">
        <v>65</v>
      </c>
      <c r="O39" s="161">
        <v>1000000</v>
      </c>
      <c r="P39" s="152" t="s">
        <v>74</v>
      </c>
      <c r="Q39" s="147"/>
      <c r="R39" s="103"/>
      <c r="S39" s="153" t="s">
        <v>136</v>
      </c>
      <c r="T39" s="154">
        <v>2000</v>
      </c>
      <c r="U39" s="103" t="s">
        <v>137</v>
      </c>
    </row>
    <row r="40" spans="1:21" ht="14.25" customHeight="1" x14ac:dyDescent="0.2">
      <c r="A40" s="103"/>
      <c r="B40" s="103"/>
      <c r="C40" s="103"/>
      <c r="D40" s="103"/>
      <c r="E40" s="103"/>
      <c r="F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</row>
    <row r="41" spans="1:21" ht="14.25" customHeight="1" x14ac:dyDescent="0.2">
      <c r="A41" s="141"/>
      <c r="B41" s="156">
        <f>(B38*E38*H38+M38*O38*R38/1000000)/2000</f>
        <v>99.374465910569995</v>
      </c>
      <c r="C41" s="156"/>
      <c r="D41" s="103" t="s">
        <v>138</v>
      </c>
      <c r="E41" s="141" t="s">
        <v>92</v>
      </c>
      <c r="F41" s="111">
        <f>B41*(2000/8760)</f>
        <v>22.688234226157533</v>
      </c>
      <c r="G41" s="103" t="s">
        <v>139</v>
      </c>
      <c r="L41" s="103" t="s">
        <v>139</v>
      </c>
      <c r="N41" s="103"/>
      <c r="O41" s="103"/>
      <c r="P41" s="103"/>
      <c r="Q41" s="103"/>
      <c r="R41" s="103"/>
      <c r="S41" s="103"/>
      <c r="T41" s="103"/>
      <c r="U41" s="103"/>
    </row>
    <row r="42" spans="1:21" ht="14.25" customHeight="1" x14ac:dyDescent="0.2">
      <c r="A42" s="141"/>
      <c r="B42" s="156"/>
      <c r="C42" s="156"/>
      <c r="D42" s="103"/>
      <c r="E42" s="141"/>
      <c r="F42" s="111"/>
      <c r="L42" s="103"/>
      <c r="N42" s="103"/>
      <c r="O42" s="103"/>
      <c r="P42" s="103"/>
      <c r="Q42" s="103"/>
      <c r="R42" s="103"/>
      <c r="S42" s="103"/>
      <c r="T42" s="103"/>
      <c r="U42" s="103"/>
    </row>
    <row r="43" spans="1:21" ht="14.25" customHeight="1" x14ac:dyDescent="0.2">
      <c r="A43" s="141"/>
      <c r="B43" s="156"/>
      <c r="C43" s="156"/>
      <c r="D43" s="103"/>
      <c r="E43" s="141"/>
      <c r="F43" s="111"/>
      <c r="L43" s="103"/>
      <c r="N43" s="103"/>
      <c r="O43" s="103"/>
      <c r="P43" s="103"/>
      <c r="Q43" s="103"/>
      <c r="R43" s="103"/>
      <c r="S43" s="103"/>
      <c r="T43" s="103"/>
      <c r="U43" s="103"/>
    </row>
    <row r="44" spans="1:21" ht="14.25" customHeight="1" x14ac:dyDescent="0.2">
      <c r="A44" s="141" t="s">
        <v>143</v>
      </c>
      <c r="B44" s="142">
        <f>B16</f>
        <v>28368834.900000002</v>
      </c>
      <c r="C44" s="143"/>
      <c r="D44" s="144" t="s">
        <v>129</v>
      </c>
      <c r="E44" s="145">
        <v>0.15</v>
      </c>
      <c r="F44" s="146" t="s">
        <v>130</v>
      </c>
      <c r="G44" s="576" t="s">
        <v>131</v>
      </c>
      <c r="H44" s="148">
        <f>C8</f>
        <v>0.04</v>
      </c>
      <c r="I44" s="149" t="s">
        <v>132</v>
      </c>
      <c r="J44" s="148">
        <v>1</v>
      </c>
      <c r="K44" s="148" t="s">
        <v>96</v>
      </c>
      <c r="L44" s="150" t="s">
        <v>133</v>
      </c>
      <c r="M44" s="151">
        <f>B17</f>
        <v>15716824588.200001</v>
      </c>
      <c r="N44" s="144" t="s">
        <v>134</v>
      </c>
      <c r="O44" s="143">
        <v>1040</v>
      </c>
      <c r="P44" s="144" t="s">
        <v>135</v>
      </c>
      <c r="Q44" s="147" t="s">
        <v>131</v>
      </c>
      <c r="R44" s="148">
        <f>B8</f>
        <v>8.0999999999999996E-3</v>
      </c>
      <c r="S44" s="149" t="s">
        <v>132</v>
      </c>
      <c r="T44" s="148">
        <v>1</v>
      </c>
      <c r="U44" s="148" t="s">
        <v>96</v>
      </c>
    </row>
    <row r="45" spans="1:21" ht="14.25" customHeight="1" x14ac:dyDescent="0.2">
      <c r="A45" s="123"/>
      <c r="B45" s="147"/>
      <c r="C45" s="123"/>
      <c r="D45" s="152" t="s">
        <v>65</v>
      </c>
      <c r="E45" s="123"/>
      <c r="F45" s="562" t="s">
        <v>94</v>
      </c>
      <c r="G45" s="576"/>
      <c r="H45" s="103"/>
      <c r="I45" s="153" t="s">
        <v>136</v>
      </c>
      <c r="J45" s="154">
        <v>2000</v>
      </c>
      <c r="K45" s="103" t="s">
        <v>137</v>
      </c>
      <c r="L45" s="123"/>
      <c r="M45" s="123"/>
      <c r="N45" s="152" t="s">
        <v>65</v>
      </c>
      <c r="O45" s="161">
        <v>1000000</v>
      </c>
      <c r="P45" s="152" t="s">
        <v>74</v>
      </c>
      <c r="Q45" s="147"/>
      <c r="R45" s="103"/>
      <c r="S45" s="153" t="s">
        <v>136</v>
      </c>
      <c r="T45" s="154">
        <v>2000</v>
      </c>
      <c r="U45" s="103" t="s">
        <v>137</v>
      </c>
    </row>
    <row r="46" spans="1:21" ht="14.25" customHeight="1" x14ac:dyDescent="0.2">
      <c r="A46" s="103"/>
      <c r="B46" s="103"/>
      <c r="C46" s="103"/>
      <c r="D46" s="103"/>
      <c r="E46" s="103"/>
      <c r="F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</row>
    <row r="47" spans="1:21" ht="14.25" customHeight="1" x14ac:dyDescent="0.2">
      <c r="A47" s="141"/>
      <c r="B47" s="156">
        <f>(B44*E44*H44+M44*O44*R44/1000000)/2000</f>
        <v>151.30576986549841</v>
      </c>
      <c r="C47" s="156"/>
      <c r="D47" s="103" t="s">
        <v>138</v>
      </c>
      <c r="E47" s="141" t="s">
        <v>92</v>
      </c>
      <c r="F47" s="111">
        <f>B47*(2000/8760)</f>
        <v>34.544696316323837</v>
      </c>
      <c r="G47" s="103" t="s">
        <v>139</v>
      </c>
      <c r="L47" s="103" t="s">
        <v>139</v>
      </c>
      <c r="N47" s="103"/>
      <c r="O47" s="103"/>
      <c r="P47" s="103"/>
      <c r="Q47" s="103"/>
      <c r="R47" s="103"/>
      <c r="S47" s="103"/>
      <c r="T47" s="103"/>
      <c r="U47" s="103"/>
    </row>
    <row r="48" spans="1:21" ht="14.25" customHeight="1" x14ac:dyDescent="0.2">
      <c r="A48" s="103"/>
      <c r="B48" s="103"/>
      <c r="C48" s="103"/>
      <c r="D48" s="103"/>
      <c r="E48" s="103"/>
      <c r="F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</row>
    <row r="49" spans="1:21" ht="14.25" customHeight="1" x14ac:dyDescent="0.2">
      <c r="A49" s="103"/>
      <c r="B49" s="103"/>
      <c r="C49" s="103"/>
      <c r="D49" s="103"/>
      <c r="E49" s="103"/>
      <c r="F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</row>
    <row r="50" spans="1:21" ht="14.25" customHeight="1" x14ac:dyDescent="0.2">
      <c r="A50" s="141" t="s">
        <v>144</v>
      </c>
      <c r="B50" s="142">
        <f>B16</f>
        <v>28368834.900000002</v>
      </c>
      <c r="C50" s="143"/>
      <c r="D50" s="144" t="s">
        <v>129</v>
      </c>
      <c r="E50" s="145">
        <v>0.15</v>
      </c>
      <c r="F50" s="146" t="s">
        <v>130</v>
      </c>
      <c r="G50" s="576" t="s">
        <v>131</v>
      </c>
      <c r="H50" s="148">
        <f>C9</f>
        <v>3.3000000000000002E-2</v>
      </c>
      <c r="I50" s="149" t="s">
        <v>132</v>
      </c>
      <c r="J50" s="148">
        <v>1</v>
      </c>
      <c r="K50" s="148" t="s">
        <v>96</v>
      </c>
      <c r="L50" s="150" t="s">
        <v>133</v>
      </c>
      <c r="M50" s="151">
        <f>B17</f>
        <v>15716824588.200001</v>
      </c>
      <c r="N50" s="144" t="s">
        <v>134</v>
      </c>
      <c r="O50" s="143">
        <v>1040</v>
      </c>
      <c r="P50" s="144" t="s">
        <v>135</v>
      </c>
      <c r="Q50" s="147" t="s">
        <v>131</v>
      </c>
      <c r="R50" s="148">
        <f>B9</f>
        <v>7.4999999999999997E-3</v>
      </c>
      <c r="S50" s="149" t="s">
        <v>132</v>
      </c>
      <c r="T50" s="148">
        <v>1</v>
      </c>
      <c r="U50" s="148" t="s">
        <v>96</v>
      </c>
    </row>
    <row r="51" spans="1:21" ht="14.25" customHeight="1" x14ac:dyDescent="0.2">
      <c r="A51" s="123"/>
      <c r="B51" s="147"/>
      <c r="C51" s="123"/>
      <c r="D51" s="152" t="s">
        <v>65</v>
      </c>
      <c r="E51" s="123"/>
      <c r="F51" s="562" t="s">
        <v>94</v>
      </c>
      <c r="G51" s="576"/>
      <c r="H51" s="103"/>
      <c r="I51" s="153" t="s">
        <v>136</v>
      </c>
      <c r="J51" s="154">
        <v>2000</v>
      </c>
      <c r="K51" s="103" t="s">
        <v>137</v>
      </c>
      <c r="L51" s="123"/>
      <c r="M51" s="123"/>
      <c r="N51" s="152" t="s">
        <v>65</v>
      </c>
      <c r="O51" s="161">
        <v>1000000</v>
      </c>
      <c r="P51" s="152" t="s">
        <v>74</v>
      </c>
      <c r="Q51" s="147"/>
      <c r="R51" s="103"/>
      <c r="S51" s="153" t="s">
        <v>136</v>
      </c>
      <c r="T51" s="154">
        <v>2000</v>
      </c>
      <c r="U51" s="103" t="s">
        <v>137</v>
      </c>
    </row>
    <row r="52" spans="1:21" ht="14.25" customHeight="1" x14ac:dyDescent="0.2">
      <c r="A52" s="103"/>
      <c r="B52" s="103"/>
      <c r="C52" s="103"/>
      <c r="D52" s="103"/>
      <c r="E52" s="103"/>
      <c r="F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</row>
    <row r="53" spans="1:21" ht="14.25" customHeight="1" x14ac:dyDescent="0.2">
      <c r="A53" s="141"/>
      <c r="B53" s="156">
        <f>(B50*E50*H50+M50*O50*R50/1000000)/2000</f>
        <v>131.50848227148001</v>
      </c>
      <c r="C53" s="156"/>
      <c r="D53" s="103" t="s">
        <v>138</v>
      </c>
      <c r="E53" s="141" t="s">
        <v>92</v>
      </c>
      <c r="F53" s="111">
        <f>B53*(2000/8760)</f>
        <v>30.02476764189041</v>
      </c>
      <c r="G53" s="103" t="s">
        <v>139</v>
      </c>
      <c r="L53" s="103" t="s">
        <v>139</v>
      </c>
      <c r="N53" s="103"/>
      <c r="O53" s="103"/>
      <c r="P53" s="103"/>
      <c r="Q53" s="103"/>
      <c r="R53" s="103"/>
      <c r="S53" s="103"/>
      <c r="T53" s="103"/>
      <c r="U53" s="103"/>
    </row>
    <row r="54" spans="1:21" ht="10.5" customHeight="1" x14ac:dyDescent="0.2">
      <c r="A54" s="103"/>
      <c r="B54" s="103"/>
      <c r="C54" s="103"/>
      <c r="D54" s="103"/>
      <c r="E54" s="103"/>
      <c r="F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</row>
    <row r="55" spans="1:21" ht="14.25" customHeight="1" x14ac:dyDescent="0.2">
      <c r="A55" s="103"/>
      <c r="B55" s="103"/>
      <c r="C55" s="103"/>
      <c r="D55" s="103"/>
      <c r="E55" s="103"/>
      <c r="F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</row>
    <row r="56" spans="1:21" ht="14.25" customHeight="1" x14ac:dyDescent="0.2">
      <c r="A56" s="141" t="s">
        <v>145</v>
      </c>
      <c r="B56" s="142">
        <f>B16</f>
        <v>28368834.900000002</v>
      </c>
      <c r="C56" s="143"/>
      <c r="D56" s="144" t="s">
        <v>129</v>
      </c>
      <c r="E56" s="145"/>
      <c r="F56" s="146"/>
      <c r="G56" s="576" t="s">
        <v>131</v>
      </c>
      <c r="H56" s="148">
        <f>(157)*B18</f>
        <v>76.40666666666668</v>
      </c>
      <c r="I56" s="149" t="s">
        <v>132</v>
      </c>
      <c r="J56" s="148">
        <v>1</v>
      </c>
      <c r="K56" s="148" t="s">
        <v>96</v>
      </c>
      <c r="L56" s="150" t="s">
        <v>133</v>
      </c>
      <c r="M56" s="151">
        <f>B17</f>
        <v>15716824588.200001</v>
      </c>
      <c r="N56" s="144" t="s">
        <v>134</v>
      </c>
      <c r="O56" s="143">
        <v>1040</v>
      </c>
      <c r="P56" s="144" t="s">
        <v>135</v>
      </c>
      <c r="Q56" s="147" t="s">
        <v>131</v>
      </c>
      <c r="R56" s="148">
        <f>B10</f>
        <v>4.0000000000000001E-3</v>
      </c>
      <c r="S56" s="149" t="s">
        <v>132</v>
      </c>
      <c r="T56" s="148">
        <v>1</v>
      </c>
      <c r="U56" s="148" t="s">
        <v>96</v>
      </c>
    </row>
    <row r="57" spans="1:21" ht="14.25" customHeight="1" x14ac:dyDescent="0.2">
      <c r="A57" s="123"/>
      <c r="B57" s="147"/>
      <c r="C57" s="123"/>
      <c r="D57" s="152" t="s">
        <v>65</v>
      </c>
      <c r="E57" s="123"/>
      <c r="F57" s="562"/>
      <c r="G57" s="576"/>
      <c r="H57" s="103">
        <v>1000</v>
      </c>
      <c r="I57" s="153" t="s">
        <v>146</v>
      </c>
      <c r="J57" s="154">
        <v>2000</v>
      </c>
      <c r="K57" s="103" t="s">
        <v>137</v>
      </c>
      <c r="L57" s="123"/>
      <c r="M57" s="123"/>
      <c r="N57" s="152" t="s">
        <v>65</v>
      </c>
      <c r="O57" s="161">
        <v>1000000</v>
      </c>
      <c r="P57" s="152" t="s">
        <v>74</v>
      </c>
      <c r="Q57" s="147"/>
      <c r="R57" s="103"/>
      <c r="S57" s="153" t="s">
        <v>136</v>
      </c>
      <c r="T57" s="154">
        <v>2000</v>
      </c>
      <c r="U57" s="103" t="s">
        <v>137</v>
      </c>
    </row>
    <row r="58" spans="1:21" ht="14.25" customHeight="1" x14ac:dyDescent="0.2">
      <c r="A58" s="103"/>
      <c r="B58" s="103"/>
      <c r="C58" s="103"/>
      <c r="D58" s="103"/>
      <c r="E58" s="103"/>
      <c r="F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</row>
    <row r="59" spans="1:21" ht="14.25" customHeight="1" x14ac:dyDescent="0.2">
      <c r="A59" s="141"/>
      <c r="B59" s="156">
        <f>(B56*H56/H57+M56*O56*R56/1000000)/2000</f>
        <v>1116.4750511064562</v>
      </c>
      <c r="C59" s="156"/>
      <c r="D59" s="103" t="s">
        <v>138</v>
      </c>
      <c r="E59" s="141" t="s">
        <v>92</v>
      </c>
      <c r="F59" s="111">
        <f>B59*(2000/8760)</f>
        <v>254.90297970467037</v>
      </c>
      <c r="G59" s="103" t="s">
        <v>139</v>
      </c>
      <c r="L59" s="103" t="s">
        <v>139</v>
      </c>
      <c r="N59" s="103"/>
      <c r="O59" s="103"/>
      <c r="P59" s="103"/>
      <c r="Q59" s="103"/>
      <c r="R59" s="103"/>
      <c r="S59" s="103"/>
      <c r="T59" s="103"/>
      <c r="U59" s="103"/>
    </row>
    <row r="60" spans="1:21" ht="14.25" customHeight="1" x14ac:dyDescent="0.2">
      <c r="A60" s="103"/>
      <c r="B60" s="103"/>
      <c r="C60" s="103"/>
      <c r="D60" s="103"/>
      <c r="E60" s="103"/>
      <c r="F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</row>
    <row r="61" spans="1:21" ht="14.25" customHeight="1" x14ac:dyDescent="0.2">
      <c r="A61" s="103"/>
      <c r="B61" s="103"/>
      <c r="C61" s="103"/>
      <c r="D61" s="103"/>
      <c r="E61" s="103"/>
      <c r="F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</row>
    <row r="62" spans="1:21" ht="14.25" customHeight="1" x14ac:dyDescent="0.2">
      <c r="A62" s="141" t="s">
        <v>147</v>
      </c>
      <c r="B62" s="142">
        <f>B16</f>
        <v>28368834.900000002</v>
      </c>
      <c r="C62" s="143"/>
      <c r="D62" s="144" t="s">
        <v>129</v>
      </c>
      <c r="E62" s="145">
        <v>0.15</v>
      </c>
      <c r="F62" s="146" t="s">
        <v>130</v>
      </c>
      <c r="G62" s="576" t="s">
        <v>131</v>
      </c>
      <c r="H62" s="148">
        <f>C11</f>
        <v>2.2589999999999999E-2</v>
      </c>
      <c r="I62" s="149" t="s">
        <v>132</v>
      </c>
      <c r="J62" s="148">
        <v>1</v>
      </c>
      <c r="K62" s="148" t="s">
        <v>96</v>
      </c>
      <c r="L62" s="150" t="s">
        <v>133</v>
      </c>
      <c r="M62" s="151">
        <f>B17</f>
        <v>15716824588.200001</v>
      </c>
      <c r="N62" s="144" t="s">
        <v>134</v>
      </c>
      <c r="O62" s="143">
        <v>1040</v>
      </c>
      <c r="P62" s="144" t="s">
        <v>135</v>
      </c>
      <c r="Q62" s="147" t="s">
        <v>131</v>
      </c>
      <c r="R62" s="148">
        <f>B11</f>
        <v>4.2999999999999999E-4</v>
      </c>
      <c r="S62" s="149" t="s">
        <v>132</v>
      </c>
      <c r="T62" s="148">
        <v>1</v>
      </c>
      <c r="U62" s="148" t="s">
        <v>96</v>
      </c>
    </row>
    <row r="63" spans="1:21" ht="14.25" customHeight="1" x14ac:dyDescent="0.2">
      <c r="A63" s="123"/>
      <c r="B63" s="147"/>
      <c r="C63" s="123"/>
      <c r="D63" s="152" t="s">
        <v>65</v>
      </c>
      <c r="E63" s="123"/>
      <c r="F63" s="562" t="s">
        <v>94</v>
      </c>
      <c r="G63" s="576"/>
      <c r="H63" s="103"/>
      <c r="I63" s="153" t="s">
        <v>136</v>
      </c>
      <c r="J63" s="154">
        <v>2000</v>
      </c>
      <c r="K63" s="103" t="s">
        <v>137</v>
      </c>
      <c r="L63" s="123"/>
      <c r="M63" s="123"/>
      <c r="N63" s="152" t="s">
        <v>65</v>
      </c>
      <c r="O63" s="161">
        <v>1000000</v>
      </c>
      <c r="P63" s="152" t="s">
        <v>74</v>
      </c>
      <c r="Q63" s="147"/>
      <c r="R63" s="103"/>
      <c r="S63" s="153" t="s">
        <v>136</v>
      </c>
      <c r="T63" s="154">
        <v>2000</v>
      </c>
      <c r="U63" s="103" t="s">
        <v>137</v>
      </c>
    </row>
    <row r="64" spans="1:21" ht="14.25" customHeight="1" x14ac:dyDescent="0.2">
      <c r="A64" s="103"/>
      <c r="B64" s="103"/>
      <c r="C64" s="103"/>
      <c r="D64" s="103"/>
      <c r="E64" s="103"/>
      <c r="F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</row>
    <row r="65" spans="1:21" ht="14.25" customHeight="1" x14ac:dyDescent="0.2">
      <c r="A65" s="141"/>
      <c r="B65" s="156">
        <f>(B62*E62*H62+M62*O62*R62/1000000)/2000</f>
        <v>51.578180507246522</v>
      </c>
      <c r="C65" s="156"/>
      <c r="D65" s="103" t="s">
        <v>138</v>
      </c>
      <c r="E65" s="141" t="s">
        <v>92</v>
      </c>
      <c r="F65" s="111">
        <f>B65*(2000/8760)</f>
        <v>11.775840298458109</v>
      </c>
      <c r="G65" s="103" t="s">
        <v>139</v>
      </c>
      <c r="L65" s="103" t="s">
        <v>139</v>
      </c>
      <c r="N65" s="103"/>
      <c r="O65" s="103"/>
      <c r="P65" s="103"/>
      <c r="Q65" s="103"/>
      <c r="R65" s="103"/>
      <c r="S65" s="103"/>
      <c r="T65" s="103"/>
      <c r="U65" s="103"/>
    </row>
    <row r="66" spans="1:21" ht="14.25" customHeight="1" x14ac:dyDescent="0.2">
      <c r="A66" s="103"/>
      <c r="B66" s="103"/>
      <c r="C66" s="103"/>
      <c r="D66" s="103"/>
      <c r="E66" s="103"/>
      <c r="F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</row>
    <row r="67" spans="1:21" ht="14.25" customHeight="1" x14ac:dyDescent="0.2">
      <c r="A67" s="103"/>
      <c r="B67" s="103"/>
      <c r="C67" s="103"/>
      <c r="D67" s="103"/>
      <c r="E67" s="103"/>
      <c r="F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</row>
    <row r="68" spans="1:21" ht="14.25" customHeight="1" x14ac:dyDescent="0.2">
      <c r="A68" s="141" t="s">
        <v>148</v>
      </c>
      <c r="B68" s="142">
        <f>B16</f>
        <v>28368834.900000002</v>
      </c>
      <c r="C68" s="143"/>
      <c r="D68" s="144" t="s">
        <v>129</v>
      </c>
      <c r="E68" s="145">
        <v>0.15</v>
      </c>
      <c r="F68" s="146" t="s">
        <v>130</v>
      </c>
      <c r="G68" s="576" t="s">
        <v>131</v>
      </c>
      <c r="H68" s="163">
        <f>C12</f>
        <v>4.6299999999999997E-6</v>
      </c>
      <c r="I68" s="149" t="s">
        <v>132</v>
      </c>
      <c r="J68" s="148">
        <v>1</v>
      </c>
      <c r="K68" s="148" t="s">
        <v>96</v>
      </c>
      <c r="L68" s="150" t="s">
        <v>133</v>
      </c>
      <c r="M68" s="151">
        <f>B17</f>
        <v>15716824588.200001</v>
      </c>
      <c r="N68" s="144" t="s">
        <v>134</v>
      </c>
      <c r="O68" s="143">
        <v>1040</v>
      </c>
      <c r="P68" s="144" t="s">
        <v>135</v>
      </c>
      <c r="Q68" s="147" t="s">
        <v>131</v>
      </c>
      <c r="R68" s="148">
        <f>B12</f>
        <v>0</v>
      </c>
      <c r="S68" s="149" t="s">
        <v>132</v>
      </c>
      <c r="T68" s="148">
        <v>1</v>
      </c>
      <c r="U68" s="148" t="s">
        <v>96</v>
      </c>
    </row>
    <row r="69" spans="1:21" ht="14.25" customHeight="1" x14ac:dyDescent="0.2">
      <c r="A69" s="123"/>
      <c r="B69" s="147"/>
      <c r="C69" s="123"/>
      <c r="D69" s="152" t="s">
        <v>65</v>
      </c>
      <c r="E69" s="123"/>
      <c r="F69" s="562" t="s">
        <v>94</v>
      </c>
      <c r="G69" s="576"/>
      <c r="H69" s="103"/>
      <c r="I69" s="153" t="s">
        <v>136</v>
      </c>
      <c r="J69" s="154">
        <v>2000</v>
      </c>
      <c r="K69" s="103" t="s">
        <v>137</v>
      </c>
      <c r="L69" s="123"/>
      <c r="M69" s="123"/>
      <c r="N69" s="152" t="s">
        <v>65</v>
      </c>
      <c r="O69" s="161">
        <v>1000000</v>
      </c>
      <c r="P69" s="152" t="s">
        <v>74</v>
      </c>
      <c r="Q69" s="147"/>
      <c r="R69" s="103"/>
      <c r="S69" s="153" t="s">
        <v>136</v>
      </c>
      <c r="T69" s="154">
        <v>2000</v>
      </c>
      <c r="U69" s="103" t="s">
        <v>137</v>
      </c>
    </row>
    <row r="70" spans="1:21" ht="14.25" customHeight="1" x14ac:dyDescent="0.2">
      <c r="A70" s="10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</row>
    <row r="71" spans="1:21" ht="14.25" customHeight="1" x14ac:dyDescent="0.2">
      <c r="A71" s="141"/>
      <c r="B71" s="156">
        <f>(B68*E68*H68+M68*O68*R68/1000000)/2000</f>
        <v>9.8510779190249999E-3</v>
      </c>
      <c r="C71" s="156"/>
      <c r="D71" s="103" t="s">
        <v>138</v>
      </c>
      <c r="E71" s="141" t="s">
        <v>92</v>
      </c>
      <c r="F71" s="111">
        <f>B71*(2000/8760)</f>
        <v>2.2491045477226025E-3</v>
      </c>
      <c r="G71" s="103" t="s">
        <v>139</v>
      </c>
      <c r="I71" s="103"/>
      <c r="J71" s="103"/>
      <c r="K71" s="103"/>
      <c r="L71" s="103"/>
      <c r="M71" s="103"/>
      <c r="N71" s="103"/>
      <c r="O71" s="103"/>
      <c r="P71" s="103"/>
    </row>
    <row r="74" spans="1:21" ht="14.25" customHeight="1" x14ac:dyDescent="0.2">
      <c r="A74" s="141" t="s">
        <v>149</v>
      </c>
      <c r="B74" s="142">
        <f>B16</f>
        <v>28368834.900000002</v>
      </c>
      <c r="C74" s="143"/>
      <c r="D74" s="144" t="s">
        <v>129</v>
      </c>
      <c r="E74" s="164">
        <f>W11</f>
        <v>25.617688884503689</v>
      </c>
      <c r="F74" s="146" t="s">
        <v>137</v>
      </c>
      <c r="G74" s="576" t="s">
        <v>131</v>
      </c>
      <c r="H74" s="148">
        <v>1</v>
      </c>
      <c r="I74" s="148" t="s">
        <v>96</v>
      </c>
      <c r="J74" s="150" t="s">
        <v>133</v>
      </c>
      <c r="M74" s="151">
        <f>B17</f>
        <v>15716824588.200001</v>
      </c>
      <c r="N74" s="144" t="s">
        <v>134</v>
      </c>
      <c r="O74" s="165">
        <f>W12</f>
        <v>0.12049378268189943</v>
      </c>
      <c r="P74" s="144" t="s">
        <v>137</v>
      </c>
      <c r="Q74" s="147" t="s">
        <v>131</v>
      </c>
      <c r="R74" s="148">
        <v>1</v>
      </c>
      <c r="S74" s="148" t="s">
        <v>96</v>
      </c>
    </row>
    <row r="75" spans="1:21" ht="14.25" customHeight="1" x14ac:dyDescent="0.2">
      <c r="A75" s="123"/>
      <c r="B75" s="147"/>
      <c r="C75" s="123"/>
      <c r="D75" s="152" t="s">
        <v>65</v>
      </c>
      <c r="E75" s="123"/>
      <c r="F75" s="562" t="s">
        <v>94</v>
      </c>
      <c r="G75" s="576"/>
      <c r="H75" s="154">
        <v>2000</v>
      </c>
      <c r="I75" s="103" t="s">
        <v>137</v>
      </c>
      <c r="J75" s="123"/>
      <c r="M75" s="123"/>
      <c r="N75" s="152" t="s">
        <v>65</v>
      </c>
      <c r="O75" s="161"/>
      <c r="P75" s="152" t="s">
        <v>74</v>
      </c>
      <c r="Q75" s="147"/>
      <c r="R75" s="154">
        <v>2000</v>
      </c>
      <c r="S75" s="103" t="s">
        <v>137</v>
      </c>
    </row>
    <row r="76" spans="1:21" ht="14.25" customHeight="1" x14ac:dyDescent="0.2">
      <c r="A76" s="103"/>
      <c r="B76" s="103"/>
      <c r="C76" s="103"/>
      <c r="D76" s="103"/>
      <c r="E76" s="103"/>
      <c r="F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</row>
    <row r="77" spans="1:21" ht="14.25" customHeight="1" x14ac:dyDescent="0.2">
      <c r="A77" s="141"/>
      <c r="B77" s="156">
        <f>(B74*E74+M74*O74)/H75</f>
        <v>1310261.8164320774</v>
      </c>
      <c r="C77" s="156"/>
      <c r="D77" s="103" t="s">
        <v>138</v>
      </c>
      <c r="E77" s="141" t="s">
        <v>92</v>
      </c>
      <c r="F77" s="111">
        <f>B77*(2000/8760)</f>
        <v>299146.53343198111</v>
      </c>
      <c r="G77" s="103" t="s">
        <v>139</v>
      </c>
      <c r="L77" s="103"/>
      <c r="N77" s="103"/>
      <c r="O77" s="103"/>
      <c r="P77" s="103"/>
      <c r="Q77" s="103"/>
      <c r="R77" s="103"/>
      <c r="S77" s="103"/>
      <c r="T77" s="103"/>
      <c r="U77" s="103"/>
    </row>
    <row r="78" spans="1:21" ht="14.25" customHeight="1" x14ac:dyDescent="0.2">
      <c r="A78" s="103"/>
      <c r="B78" s="103"/>
      <c r="C78" s="103"/>
      <c r="D78" s="103"/>
      <c r="E78" s="103"/>
      <c r="F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</row>
    <row r="79" spans="1:21" ht="14.25" customHeight="1" x14ac:dyDescent="0.2">
      <c r="A79" s="103"/>
      <c r="B79" s="103"/>
      <c r="C79" s="103"/>
      <c r="D79" s="103"/>
      <c r="E79" s="103"/>
      <c r="F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</row>
    <row r="80" spans="1:21" ht="14.25" customHeight="1" x14ac:dyDescent="0.2">
      <c r="A80" s="84"/>
      <c r="B80" s="79" t="s">
        <v>150</v>
      </c>
      <c r="C80" s="79"/>
      <c r="D80" s="79"/>
      <c r="E80" s="79"/>
      <c r="F80" s="79"/>
      <c r="G80" s="79"/>
      <c r="H80" s="79"/>
      <c r="I80" s="79"/>
      <c r="J80" s="79"/>
      <c r="K80" s="84"/>
      <c r="L80" s="84"/>
      <c r="M80" s="84"/>
      <c r="N80" s="84"/>
      <c r="O80" s="84"/>
      <c r="P80" s="84"/>
    </row>
    <row r="81" spans="2:10" ht="14.25" customHeight="1" x14ac:dyDescent="0.2">
      <c r="B81" s="79" t="s">
        <v>151</v>
      </c>
      <c r="C81" s="79"/>
      <c r="D81" s="79"/>
      <c r="E81" s="79"/>
      <c r="F81" s="79"/>
      <c r="G81" s="79"/>
      <c r="H81" s="79"/>
      <c r="I81" s="79"/>
      <c r="J81" s="79"/>
    </row>
    <row r="82" spans="2:10" ht="14.25" customHeight="1" x14ac:dyDescent="0.2">
      <c r="B82" s="79" t="s">
        <v>152</v>
      </c>
      <c r="C82" s="79"/>
      <c r="D82" s="79"/>
      <c r="E82" s="79"/>
      <c r="F82" s="79"/>
      <c r="G82" s="79"/>
      <c r="H82" s="79"/>
      <c r="I82" s="79"/>
      <c r="J82" s="79"/>
    </row>
    <row r="83" spans="2:10" ht="14.25" customHeight="1" x14ac:dyDescent="0.2">
      <c r="B83" s="79" t="s">
        <v>153</v>
      </c>
      <c r="C83" s="79"/>
      <c r="D83" s="84"/>
      <c r="E83" s="84"/>
      <c r="F83" s="84"/>
      <c r="G83" s="84"/>
      <c r="H83" s="84"/>
      <c r="I83" s="84"/>
      <c r="J83" s="84"/>
    </row>
  </sheetData>
  <mergeCells count="13">
    <mergeCell ref="G62:G63"/>
    <mergeCell ref="G68:G69"/>
    <mergeCell ref="G74:G75"/>
    <mergeCell ref="G32:G33"/>
    <mergeCell ref="G38:G39"/>
    <mergeCell ref="G44:G45"/>
    <mergeCell ref="G50:G51"/>
    <mergeCell ref="G56:G57"/>
    <mergeCell ref="A1:P1"/>
    <mergeCell ref="F6:N6"/>
    <mergeCell ref="G20:G21"/>
    <mergeCell ref="Q20:Q21"/>
    <mergeCell ref="G26:G27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83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2" width="18.28515625" customWidth="1"/>
    <col min="3" max="3" width="16.5703125" customWidth="1"/>
    <col min="4" max="4" width="12.42578125" customWidth="1"/>
    <col min="5" max="5" width="11.5703125" customWidth="1"/>
    <col min="6" max="6" width="13.5703125" customWidth="1"/>
    <col min="7" max="7" width="4.85546875" customWidth="1"/>
    <col min="8" max="8" width="8.42578125" customWidth="1"/>
    <col min="9" max="9" width="8.28515625" customWidth="1"/>
    <col min="10" max="10" width="5.5703125" customWidth="1"/>
    <col min="11" max="11" width="3.42578125" customWidth="1"/>
    <col min="12" max="12" width="6.5703125" customWidth="1"/>
    <col min="13" max="13" width="13.7109375" customWidth="1"/>
    <col min="14" max="14" width="8.5703125" customWidth="1"/>
    <col min="15" max="15" width="9.140625" customWidth="1"/>
    <col min="16" max="16" width="8.28515625" customWidth="1"/>
    <col min="17" max="17" width="1.7109375" customWidth="1"/>
    <col min="18" max="18" width="8" customWidth="1"/>
    <col min="19" max="19" width="8.28515625" customWidth="1"/>
    <col min="20" max="20" width="5.5703125" customWidth="1"/>
    <col min="21" max="21" width="3.42578125" customWidth="1"/>
    <col min="23" max="23" width="12" customWidth="1"/>
  </cols>
  <sheetData>
    <row r="1" spans="1:24" ht="14.25" customHeight="1" x14ac:dyDescent="0.2">
      <c r="A1" s="574" t="s">
        <v>154</v>
      </c>
      <c r="B1" s="574"/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</row>
    <row r="2" spans="1:24" ht="14.25" customHeight="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24" ht="52.5" customHeight="1" x14ac:dyDescent="0.2">
      <c r="A3" s="104" t="s">
        <v>106</v>
      </c>
      <c r="B3" s="105" t="s">
        <v>107</v>
      </c>
      <c r="C3" s="105" t="s">
        <v>108</v>
      </c>
      <c r="D3" s="106" t="s">
        <v>109</v>
      </c>
      <c r="E3" s="106" t="s">
        <v>110</v>
      </c>
      <c r="M3" s="103"/>
      <c r="N3" s="103"/>
      <c r="O3" s="103"/>
      <c r="P3" s="103"/>
    </row>
    <row r="4" spans="1:24" ht="14.25" customHeight="1" x14ac:dyDescent="0.2">
      <c r="A4" s="107" t="s">
        <v>20</v>
      </c>
      <c r="B4" s="108">
        <v>0.35</v>
      </c>
      <c r="C4" s="108">
        <v>0.35</v>
      </c>
      <c r="D4" s="109">
        <f>B23</f>
        <v>4368.1232077225404</v>
      </c>
      <c r="E4" s="110">
        <f>F23</f>
        <v>997.288403589621</v>
      </c>
      <c r="J4" s="111"/>
      <c r="K4" s="112"/>
      <c r="L4" s="112"/>
      <c r="M4" s="103"/>
      <c r="N4" s="103"/>
      <c r="O4" s="103"/>
      <c r="P4" s="103"/>
    </row>
    <row r="5" spans="1:24" ht="14.25" customHeight="1" x14ac:dyDescent="0.2">
      <c r="A5" s="113" t="s">
        <v>21</v>
      </c>
      <c r="B5" s="114">
        <v>8.9999999999999993E-3</v>
      </c>
      <c r="C5" s="115">
        <v>3.8E-3</v>
      </c>
      <c r="D5" s="116">
        <f>B29</f>
        <v>85.445677958979587</v>
      </c>
      <c r="E5" s="117">
        <f>F29</f>
        <v>19.508145652735063</v>
      </c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24" ht="14.25" customHeight="1" x14ac:dyDescent="0.2">
      <c r="A6" s="113" t="s">
        <v>22</v>
      </c>
      <c r="B6" s="114">
        <v>8.0000000000000004E-4</v>
      </c>
      <c r="C6" s="114">
        <v>1.2999999999999999E-3</v>
      </c>
      <c r="D6" s="116">
        <f>B35</f>
        <v>12.568655679151519</v>
      </c>
      <c r="E6" s="117">
        <f>F35</f>
        <v>2.8695560911304834</v>
      </c>
      <c r="F6" s="575" t="s">
        <v>111</v>
      </c>
      <c r="G6" s="575"/>
      <c r="H6" s="575"/>
      <c r="I6" s="575"/>
      <c r="J6" s="575"/>
      <c r="K6" s="575"/>
      <c r="L6" s="575"/>
      <c r="M6" s="575"/>
      <c r="N6" s="575"/>
      <c r="O6" s="118"/>
      <c r="P6" s="118"/>
    </row>
    <row r="7" spans="1:24" ht="14.25" customHeight="1" x14ac:dyDescent="0.2">
      <c r="A7" s="113" t="s">
        <v>17</v>
      </c>
      <c r="B7" s="114">
        <v>5.0000000000000001E-3</v>
      </c>
      <c r="C7" s="115">
        <v>2.75E-2</v>
      </c>
      <c r="D7" s="116">
        <f>B41</f>
        <v>178.69859287782199</v>
      </c>
      <c r="E7" s="117">
        <f>F41</f>
        <v>40.798765497219634</v>
      </c>
      <c r="F7" s="119" t="s">
        <v>112</v>
      </c>
      <c r="G7" s="120" t="s">
        <v>113</v>
      </c>
      <c r="I7" s="120"/>
      <c r="J7" s="120"/>
      <c r="K7" s="120"/>
      <c r="L7" s="120"/>
      <c r="M7" s="120"/>
      <c r="N7" s="120"/>
      <c r="O7" s="120"/>
      <c r="P7" s="120"/>
    </row>
    <row r="8" spans="1:24" ht="14.25" customHeight="1" x14ac:dyDescent="0.2">
      <c r="A8" s="113" t="s">
        <v>18</v>
      </c>
      <c r="B8" s="114">
        <v>8.0999999999999996E-3</v>
      </c>
      <c r="C8" s="115">
        <v>0.04</v>
      </c>
      <c r="D8" s="116">
        <f>B47</f>
        <v>265.97391650242162</v>
      </c>
      <c r="E8" s="121">
        <f>F47</f>
        <v>60.724638470872513</v>
      </c>
      <c r="F8" s="122"/>
      <c r="G8" s="120" t="s">
        <v>114</v>
      </c>
      <c r="H8" s="120"/>
      <c r="I8" s="120"/>
      <c r="J8" s="120"/>
      <c r="K8" s="120"/>
      <c r="L8" s="120"/>
      <c r="M8" s="120"/>
      <c r="N8" s="120"/>
      <c r="O8" s="120"/>
    </row>
    <row r="9" spans="1:24" ht="14.25" customHeight="1" x14ac:dyDescent="0.2">
      <c r="A9" s="113" t="s">
        <v>40</v>
      </c>
      <c r="B9" s="114">
        <v>7.4999999999999997E-3</v>
      </c>
      <c r="C9" s="115">
        <v>3.3000000000000002E-2</v>
      </c>
      <c r="D9" s="116">
        <f>B53</f>
        <v>225.405717301983</v>
      </c>
      <c r="E9" s="117">
        <f>F53</f>
        <v>51.462492534699315</v>
      </c>
      <c r="F9" s="123"/>
      <c r="G9" s="120" t="s">
        <v>115</v>
      </c>
      <c r="H9" s="120"/>
      <c r="I9" s="120"/>
      <c r="J9" s="120"/>
      <c r="K9" s="120"/>
      <c r="L9" s="120"/>
      <c r="M9" s="120"/>
      <c r="N9" s="120"/>
      <c r="O9" s="120"/>
    </row>
    <row r="10" spans="1:24" ht="14.25" customHeight="1" x14ac:dyDescent="0.25">
      <c r="A10" s="113" t="s">
        <v>19</v>
      </c>
      <c r="B10" s="114">
        <v>4.0000000000000001E-3</v>
      </c>
      <c r="C10" s="115" t="s">
        <v>116</v>
      </c>
      <c r="D10" s="116">
        <f>B59</f>
        <v>2662.0918483830578</v>
      </c>
      <c r="E10" s="117">
        <f>F59</f>
        <v>607.78352702809536</v>
      </c>
      <c r="F10" s="123"/>
      <c r="G10" s="123"/>
      <c r="H10" s="122"/>
      <c r="I10" s="122"/>
      <c r="J10" s="122"/>
      <c r="K10" s="122"/>
      <c r="L10" s="122"/>
      <c r="M10" s="122"/>
      <c r="N10" s="122"/>
      <c r="O10" s="122"/>
      <c r="P10" s="122"/>
      <c r="V10" s="124"/>
      <c r="W10" s="124"/>
      <c r="X10" s="124"/>
    </row>
    <row r="11" spans="1:24" ht="14.25" customHeight="1" x14ac:dyDescent="0.25">
      <c r="A11" s="113" t="s">
        <v>42</v>
      </c>
      <c r="B11" s="114">
        <v>4.2999999999999999E-4</v>
      </c>
      <c r="C11" s="115">
        <v>2.2589999999999999E-2</v>
      </c>
      <c r="D11" s="116">
        <f>B65</f>
        <v>119.90600977516768</v>
      </c>
      <c r="E11" s="117">
        <f>F65</f>
        <v>27.37580131853143</v>
      </c>
      <c r="F11" s="125" t="s">
        <v>117</v>
      </c>
      <c r="G11" s="120" t="s">
        <v>118</v>
      </c>
      <c r="H11" s="120"/>
      <c r="I11" s="120"/>
      <c r="J11" s="120"/>
      <c r="K11" s="120"/>
      <c r="L11" s="120"/>
      <c r="N11" s="122"/>
      <c r="O11" s="122"/>
      <c r="P11" s="122"/>
      <c r="V11" s="124" t="s">
        <v>24</v>
      </c>
      <c r="W11" s="124">
        <f>(157765.7+153.2+365.3)*2204.6/13621578</f>
        <v>25.617688884503689</v>
      </c>
      <c r="X11" s="124" t="s">
        <v>119</v>
      </c>
    </row>
    <row r="12" spans="1:24" ht="14.25" customHeight="1" x14ac:dyDescent="0.25">
      <c r="A12" s="113" t="s">
        <v>23</v>
      </c>
      <c r="B12" s="114">
        <v>0</v>
      </c>
      <c r="C12" s="126">
        <v>4.6299999999999997E-6</v>
      </c>
      <c r="D12" s="116">
        <f>B71</f>
        <v>2.3931303809489997E-2</v>
      </c>
      <c r="E12" s="117">
        <f>F71</f>
        <v>5.4637679930342456E-3</v>
      </c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V12" s="124"/>
      <c r="W12" s="124">
        <f>(989989.8+466.4+556)*2204.62/18132099995</f>
        <v>0.12049378268189943</v>
      </c>
      <c r="X12" s="124" t="s">
        <v>120</v>
      </c>
    </row>
    <row r="13" spans="1:24" ht="14.25" customHeight="1" x14ac:dyDescent="0.25">
      <c r="A13" s="113" t="s">
        <v>24</v>
      </c>
      <c r="B13" s="114" t="s">
        <v>121</v>
      </c>
      <c r="C13" s="114" t="s">
        <v>122</v>
      </c>
      <c r="D13" s="127">
        <f>B77</f>
        <v>1729860.6300087862</v>
      </c>
      <c r="E13" s="128">
        <f>F77</f>
        <v>394945.34931707446</v>
      </c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V13" s="124"/>
      <c r="W13" s="124"/>
      <c r="X13" s="124"/>
    </row>
    <row r="14" spans="1:24" ht="14.25" customHeight="1" x14ac:dyDescent="0.2">
      <c r="A14" s="129" t="s">
        <v>43</v>
      </c>
      <c r="B14" s="130">
        <v>0</v>
      </c>
      <c r="C14" s="131">
        <v>0</v>
      </c>
      <c r="D14" s="132">
        <v>0</v>
      </c>
      <c r="E14" s="133">
        <v>0</v>
      </c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24" ht="14.25" customHeight="1" x14ac:dyDescent="0.2">
      <c r="A15" s="134"/>
      <c r="B15" s="134"/>
      <c r="C15" s="134"/>
      <c r="D15" s="134"/>
      <c r="E15" s="111"/>
      <c r="H15" s="103"/>
      <c r="I15" s="103"/>
      <c r="J15" s="103"/>
      <c r="K15" s="103"/>
      <c r="L15" s="103"/>
      <c r="M15" s="103"/>
      <c r="N15" s="103"/>
      <c r="O15" s="103"/>
      <c r="P15" s="103"/>
    </row>
    <row r="16" spans="1:24" ht="14.25" customHeight="1" x14ac:dyDescent="0.2">
      <c r="A16" s="135" t="s">
        <v>123</v>
      </c>
      <c r="B16" s="136">
        <f>SUM('Costa Sur'!E17)</f>
        <v>68916641.640000001</v>
      </c>
      <c r="C16" s="136"/>
      <c r="D16" s="137" t="s">
        <v>89</v>
      </c>
      <c r="H16" s="103"/>
      <c r="I16" s="103"/>
      <c r="J16" s="103"/>
      <c r="K16" s="103"/>
      <c r="L16" s="103"/>
      <c r="M16" s="103"/>
      <c r="N16" s="103"/>
      <c r="O16" s="103"/>
      <c r="P16" s="103"/>
    </row>
    <row r="17" spans="1:21" ht="14.25" customHeight="1" x14ac:dyDescent="0.2">
      <c r="A17" s="138" t="s">
        <v>124</v>
      </c>
      <c r="B17" s="139">
        <f>SUM('Costa Sur'!C54)</f>
        <v>14060776728.970001</v>
      </c>
      <c r="C17" s="139"/>
      <c r="D17" s="112" t="s">
        <v>125</v>
      </c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</row>
    <row r="18" spans="1:21" ht="14.25" customHeight="1" x14ac:dyDescent="0.25">
      <c r="A18" s="86" t="s">
        <v>126</v>
      </c>
      <c r="B18" s="140">
        <f>SUM('Costa Sur'!I17)</f>
        <v>0.48666666666666675</v>
      </c>
      <c r="D18" t="s">
        <v>127</v>
      </c>
      <c r="M18" s="103"/>
      <c r="N18" s="103"/>
      <c r="O18" s="103"/>
      <c r="P18" s="103"/>
    </row>
    <row r="19" spans="1:21" ht="14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</row>
    <row r="20" spans="1:21" ht="14.25" customHeight="1" x14ac:dyDescent="0.2">
      <c r="A20" s="141" t="s">
        <v>128</v>
      </c>
      <c r="B20" s="142">
        <f>B16</f>
        <v>68916641.640000001</v>
      </c>
      <c r="C20" s="143"/>
      <c r="D20" s="144" t="s">
        <v>129</v>
      </c>
      <c r="E20" s="145">
        <v>0.15</v>
      </c>
      <c r="F20" s="146" t="s">
        <v>130</v>
      </c>
      <c r="G20" s="576" t="s">
        <v>131</v>
      </c>
      <c r="H20" s="148">
        <f>C4</f>
        <v>0.35</v>
      </c>
      <c r="I20" s="149" t="s">
        <v>132</v>
      </c>
      <c r="J20" s="148">
        <v>1</v>
      </c>
      <c r="K20" s="148" t="s">
        <v>96</v>
      </c>
      <c r="L20" s="150" t="s">
        <v>133</v>
      </c>
      <c r="M20" s="151">
        <f>B17</f>
        <v>14060776728.970001</v>
      </c>
      <c r="N20" s="146" t="s">
        <v>134</v>
      </c>
      <c r="O20" s="142">
        <v>1040</v>
      </c>
      <c r="P20" s="144" t="s">
        <v>135</v>
      </c>
      <c r="Q20" s="576" t="s">
        <v>131</v>
      </c>
      <c r="R20" s="148">
        <f>B4</f>
        <v>0.35</v>
      </c>
      <c r="S20" s="149" t="s">
        <v>132</v>
      </c>
      <c r="T20" s="148">
        <v>1</v>
      </c>
      <c r="U20" s="148" t="s">
        <v>96</v>
      </c>
    </row>
    <row r="21" spans="1:21" ht="14.25" customHeight="1" x14ac:dyDescent="0.2">
      <c r="A21" s="123"/>
      <c r="B21" s="147"/>
      <c r="C21" s="123"/>
      <c r="D21" s="152" t="s">
        <v>65</v>
      </c>
      <c r="E21" s="123"/>
      <c r="F21" s="562" t="s">
        <v>94</v>
      </c>
      <c r="G21" s="576"/>
      <c r="H21" s="103"/>
      <c r="I21" s="153" t="s">
        <v>136</v>
      </c>
      <c r="J21" s="154">
        <v>2000</v>
      </c>
      <c r="K21" s="103" t="s">
        <v>137</v>
      </c>
      <c r="L21" s="123"/>
      <c r="M21" s="123"/>
      <c r="N21" s="152" t="s">
        <v>65</v>
      </c>
      <c r="O21" s="155">
        <v>1000000</v>
      </c>
      <c r="P21" s="152" t="s">
        <v>74</v>
      </c>
      <c r="Q21" s="576"/>
      <c r="R21" s="103"/>
      <c r="S21" s="153" t="s">
        <v>136</v>
      </c>
      <c r="T21" s="154">
        <v>2000</v>
      </c>
      <c r="U21" s="103" t="s">
        <v>137</v>
      </c>
    </row>
    <row r="22" spans="1:21" ht="14.2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</row>
    <row r="23" spans="1:21" ht="14.25" customHeight="1" x14ac:dyDescent="0.25">
      <c r="A23" s="141"/>
      <c r="B23" s="156">
        <f>(B20*E20*H20+M20*O20*R20/1000000)/2000</f>
        <v>4368.1232077225404</v>
      </c>
      <c r="C23" s="156"/>
      <c r="D23" s="103" t="s">
        <v>138</v>
      </c>
      <c r="E23" s="141" t="s">
        <v>92</v>
      </c>
      <c r="F23" s="111">
        <f>B23*(2000/8760)</f>
        <v>997.288403589621</v>
      </c>
      <c r="G23" s="103" t="s">
        <v>139</v>
      </c>
      <c r="H23" s="157"/>
      <c r="I23" s="103"/>
      <c r="J23" s="103"/>
      <c r="K23" s="103"/>
      <c r="L23" s="103"/>
      <c r="M23" s="103"/>
      <c r="N23" s="103"/>
      <c r="O23" s="103"/>
      <c r="P23" s="103"/>
    </row>
    <row r="24" spans="1:21" ht="10.5" customHeight="1" x14ac:dyDescent="0.2">
      <c r="A24" s="103"/>
      <c r="B24" s="103"/>
      <c r="C24" s="103"/>
      <c r="D24" s="103"/>
      <c r="E24" s="103"/>
      <c r="F24" s="103"/>
      <c r="G24" s="103"/>
      <c r="H24" s="158"/>
      <c r="I24" s="158"/>
      <c r="J24" s="158"/>
      <c r="K24" s="103"/>
      <c r="L24" s="103"/>
      <c r="M24" s="103"/>
      <c r="N24" s="103"/>
      <c r="O24" s="103"/>
      <c r="P24" s="103"/>
    </row>
    <row r="25" spans="1:21" ht="14.25" customHeight="1" x14ac:dyDescent="0.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</row>
    <row r="26" spans="1:21" ht="14.25" customHeight="1" x14ac:dyDescent="0.2">
      <c r="A26" s="141" t="s">
        <v>140</v>
      </c>
      <c r="B26" s="142">
        <f>B16</f>
        <v>68916641.640000001</v>
      </c>
      <c r="C26" s="143"/>
      <c r="D26" s="144" t="s">
        <v>129</v>
      </c>
      <c r="E26" s="145">
        <v>0.15</v>
      </c>
      <c r="F26" s="146" t="s">
        <v>130</v>
      </c>
      <c r="G26" s="576" t="s">
        <v>131</v>
      </c>
      <c r="H26" s="148">
        <f>C5</f>
        <v>3.8E-3</v>
      </c>
      <c r="I26" s="149" t="s">
        <v>132</v>
      </c>
      <c r="J26" s="148">
        <v>1</v>
      </c>
      <c r="K26" s="148" t="s">
        <v>96</v>
      </c>
      <c r="L26" s="150" t="s">
        <v>133</v>
      </c>
      <c r="M26" s="151">
        <f>B17</f>
        <v>14060776728.970001</v>
      </c>
      <c r="N26" s="144" t="s">
        <v>134</v>
      </c>
      <c r="O26" s="143">
        <v>1040</v>
      </c>
      <c r="P26" s="144" t="s">
        <v>135</v>
      </c>
      <c r="Q26" s="147" t="s">
        <v>131</v>
      </c>
      <c r="R26" s="148">
        <f>B5</f>
        <v>8.9999999999999993E-3</v>
      </c>
      <c r="S26" s="149" t="s">
        <v>132</v>
      </c>
      <c r="T26" s="159">
        <v>1</v>
      </c>
      <c r="U26" s="148" t="s">
        <v>96</v>
      </c>
    </row>
    <row r="27" spans="1:21" ht="14.25" customHeight="1" x14ac:dyDescent="0.2">
      <c r="A27" s="123"/>
      <c r="B27" s="147"/>
      <c r="C27" s="123"/>
      <c r="D27" s="152" t="s">
        <v>65</v>
      </c>
      <c r="E27" s="123"/>
      <c r="F27" s="160" t="s">
        <v>94</v>
      </c>
      <c r="G27" s="576"/>
      <c r="H27" s="103"/>
      <c r="I27" s="153" t="s">
        <v>136</v>
      </c>
      <c r="J27" s="154">
        <v>2000</v>
      </c>
      <c r="K27" s="103" t="s">
        <v>137</v>
      </c>
      <c r="L27" s="123"/>
      <c r="M27" s="123"/>
      <c r="N27" s="152" t="s">
        <v>65</v>
      </c>
      <c r="O27" s="161">
        <v>1000000</v>
      </c>
      <c r="P27" s="152" t="s">
        <v>74</v>
      </c>
      <c r="Q27" s="147"/>
      <c r="R27" s="103"/>
      <c r="S27" s="153" t="s">
        <v>136</v>
      </c>
      <c r="T27" s="162">
        <v>2000</v>
      </c>
      <c r="U27" s="103" t="s">
        <v>137</v>
      </c>
    </row>
    <row r="28" spans="1:21" ht="14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</row>
    <row r="29" spans="1:21" ht="14.25" customHeight="1" x14ac:dyDescent="0.2">
      <c r="A29" s="141"/>
      <c r="B29" s="156">
        <f>(B26*E26*H26+M26*O26*R26/1000000)/2000</f>
        <v>85.445677958979587</v>
      </c>
      <c r="C29" s="156"/>
      <c r="D29" s="103" t="s">
        <v>138</v>
      </c>
      <c r="E29" s="141" t="s">
        <v>92</v>
      </c>
      <c r="F29" s="111">
        <f>B29*(2000/8760)</f>
        <v>19.508145652735063</v>
      </c>
      <c r="G29" s="103" t="s">
        <v>139</v>
      </c>
      <c r="I29" s="103"/>
      <c r="J29" s="103"/>
      <c r="K29" s="103"/>
      <c r="L29" s="103"/>
      <c r="M29" s="103"/>
      <c r="N29" s="103"/>
      <c r="O29" s="103"/>
      <c r="P29" s="103"/>
    </row>
    <row r="30" spans="1:21" ht="11.25" customHeight="1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</row>
    <row r="31" spans="1:21" ht="14.25" customHeight="1" x14ac:dyDescent="0.2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</row>
    <row r="32" spans="1:21" ht="14.25" customHeight="1" x14ac:dyDescent="0.2">
      <c r="A32" s="141" t="s">
        <v>141</v>
      </c>
      <c r="B32" s="142">
        <f>B16</f>
        <v>68916641.640000001</v>
      </c>
      <c r="C32" s="143"/>
      <c r="D32" s="144" t="s">
        <v>129</v>
      </c>
      <c r="E32" s="145">
        <v>0.15</v>
      </c>
      <c r="F32" s="146" t="s">
        <v>130</v>
      </c>
      <c r="G32" s="576" t="s">
        <v>131</v>
      </c>
      <c r="H32" s="148">
        <f>C6</f>
        <v>1.2999999999999999E-3</v>
      </c>
      <c r="I32" s="149" t="s">
        <v>132</v>
      </c>
      <c r="J32" s="148">
        <v>1</v>
      </c>
      <c r="K32" s="148" t="s">
        <v>96</v>
      </c>
      <c r="L32" s="150" t="s">
        <v>133</v>
      </c>
      <c r="M32" s="151">
        <f>B17</f>
        <v>14060776728.970001</v>
      </c>
      <c r="N32" s="144" t="s">
        <v>134</v>
      </c>
      <c r="O32" s="143">
        <v>1040</v>
      </c>
      <c r="P32" s="144" t="s">
        <v>135</v>
      </c>
      <c r="Q32" s="147" t="s">
        <v>131</v>
      </c>
      <c r="R32" s="148">
        <f>B6</f>
        <v>8.0000000000000004E-4</v>
      </c>
      <c r="S32" s="149" t="s">
        <v>132</v>
      </c>
      <c r="T32" s="148">
        <v>1</v>
      </c>
      <c r="U32" s="148" t="s">
        <v>96</v>
      </c>
    </row>
    <row r="33" spans="1:21" ht="14.25" customHeight="1" x14ac:dyDescent="0.2">
      <c r="A33" s="123"/>
      <c r="B33" s="147"/>
      <c r="C33" s="123"/>
      <c r="D33" s="152" t="s">
        <v>65</v>
      </c>
      <c r="E33" s="123"/>
      <c r="F33" s="562" t="s">
        <v>94</v>
      </c>
      <c r="G33" s="576"/>
      <c r="H33" s="103"/>
      <c r="I33" s="153" t="s">
        <v>136</v>
      </c>
      <c r="J33" s="154">
        <v>2000</v>
      </c>
      <c r="K33" s="103" t="s">
        <v>137</v>
      </c>
      <c r="L33" s="123"/>
      <c r="M33" s="123"/>
      <c r="N33" s="152" t="s">
        <v>65</v>
      </c>
      <c r="O33" s="161">
        <v>1000000</v>
      </c>
      <c r="P33" s="152" t="s">
        <v>74</v>
      </c>
      <c r="Q33" s="147"/>
      <c r="R33" s="103"/>
      <c r="S33" s="153" t="s">
        <v>136</v>
      </c>
      <c r="T33" s="154">
        <v>2000</v>
      </c>
      <c r="U33" s="103" t="s">
        <v>137</v>
      </c>
    </row>
    <row r="34" spans="1:21" ht="14.25" customHeight="1" x14ac:dyDescent="0.2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</row>
    <row r="35" spans="1:21" ht="14.25" customHeight="1" x14ac:dyDescent="0.2">
      <c r="A35" s="141"/>
      <c r="B35" s="156">
        <f>(B32*E32*H32+M32*O32*R32/1000000)/2000</f>
        <v>12.568655679151519</v>
      </c>
      <c r="C35" s="156"/>
      <c r="D35" s="103" t="s">
        <v>138</v>
      </c>
      <c r="E35" s="141" t="s">
        <v>92</v>
      </c>
      <c r="F35" s="111">
        <f>B35*(2000/8760)</f>
        <v>2.8695560911304834</v>
      </c>
      <c r="G35" s="103" t="s">
        <v>139</v>
      </c>
      <c r="I35" s="103"/>
      <c r="J35" s="103"/>
      <c r="K35" s="103"/>
      <c r="L35" s="103"/>
      <c r="M35" s="103"/>
      <c r="N35" s="103"/>
      <c r="O35" s="103"/>
      <c r="P35" s="103"/>
    </row>
    <row r="36" spans="1:21" ht="9.75" customHeight="1" x14ac:dyDescent="0.2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</row>
    <row r="37" spans="1:21" ht="14.25" customHeight="1" x14ac:dyDescent="0.2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</row>
    <row r="38" spans="1:21" ht="14.25" customHeight="1" x14ac:dyDescent="0.2">
      <c r="A38" s="141" t="s">
        <v>142</v>
      </c>
      <c r="B38" s="142">
        <f>B16</f>
        <v>68916641.640000001</v>
      </c>
      <c r="C38" s="143"/>
      <c r="D38" s="144" t="s">
        <v>129</v>
      </c>
      <c r="E38" s="145">
        <v>0.15</v>
      </c>
      <c r="F38" s="146" t="s">
        <v>130</v>
      </c>
      <c r="G38" s="576" t="s">
        <v>131</v>
      </c>
      <c r="H38" s="148">
        <f>C7</f>
        <v>2.75E-2</v>
      </c>
      <c r="I38" s="149" t="s">
        <v>132</v>
      </c>
      <c r="J38" s="148">
        <v>1</v>
      </c>
      <c r="K38" s="148" t="s">
        <v>96</v>
      </c>
      <c r="L38" s="150" t="s">
        <v>133</v>
      </c>
      <c r="M38" s="151">
        <f>B17</f>
        <v>14060776728.970001</v>
      </c>
      <c r="N38" s="144" t="s">
        <v>134</v>
      </c>
      <c r="O38" s="143">
        <v>1040</v>
      </c>
      <c r="P38" s="144" t="s">
        <v>135</v>
      </c>
      <c r="Q38" s="147" t="s">
        <v>131</v>
      </c>
      <c r="R38" s="148">
        <f>B7</f>
        <v>5.0000000000000001E-3</v>
      </c>
      <c r="S38" s="149" t="s">
        <v>132</v>
      </c>
      <c r="T38" s="148">
        <v>1</v>
      </c>
      <c r="U38" s="148" t="s">
        <v>96</v>
      </c>
    </row>
    <row r="39" spans="1:21" ht="14.25" customHeight="1" x14ac:dyDescent="0.2">
      <c r="A39" s="123"/>
      <c r="B39" s="147"/>
      <c r="C39" s="123"/>
      <c r="D39" s="152" t="s">
        <v>65</v>
      </c>
      <c r="E39" s="123"/>
      <c r="F39" s="562" t="s">
        <v>94</v>
      </c>
      <c r="G39" s="576"/>
      <c r="H39" s="103"/>
      <c r="I39" s="153" t="s">
        <v>136</v>
      </c>
      <c r="J39" s="154">
        <v>2000</v>
      </c>
      <c r="K39" s="103" t="s">
        <v>137</v>
      </c>
      <c r="L39" s="123"/>
      <c r="M39" s="123"/>
      <c r="N39" s="152" t="s">
        <v>65</v>
      </c>
      <c r="O39" s="161">
        <v>1000000</v>
      </c>
      <c r="P39" s="152" t="s">
        <v>74</v>
      </c>
      <c r="Q39" s="147"/>
      <c r="R39" s="103"/>
      <c r="S39" s="153" t="s">
        <v>136</v>
      </c>
      <c r="T39" s="154">
        <v>2000</v>
      </c>
      <c r="U39" s="103" t="s">
        <v>137</v>
      </c>
    </row>
    <row r="40" spans="1:21" ht="14.25" customHeight="1" x14ac:dyDescent="0.2">
      <c r="A40" s="103"/>
      <c r="B40" s="103"/>
      <c r="C40" s="103"/>
      <c r="D40" s="103"/>
      <c r="E40" s="103"/>
      <c r="F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</row>
    <row r="41" spans="1:21" ht="14.25" customHeight="1" x14ac:dyDescent="0.2">
      <c r="A41" s="141"/>
      <c r="B41" s="156">
        <f>(B38*E38*H38+M38*O38*R38/1000000)/2000</f>
        <v>178.69859287782199</v>
      </c>
      <c r="C41" s="156"/>
      <c r="D41" s="103" t="s">
        <v>138</v>
      </c>
      <c r="E41" s="141" t="s">
        <v>92</v>
      </c>
      <c r="F41" s="111">
        <f>B41*(2000/8760)</f>
        <v>40.798765497219634</v>
      </c>
      <c r="G41" s="103" t="s">
        <v>139</v>
      </c>
      <c r="L41" s="103" t="s">
        <v>139</v>
      </c>
      <c r="N41" s="103"/>
      <c r="O41" s="103"/>
      <c r="P41" s="103"/>
      <c r="Q41" s="103"/>
      <c r="R41" s="103"/>
      <c r="S41" s="103"/>
      <c r="T41" s="103"/>
      <c r="U41" s="103"/>
    </row>
    <row r="42" spans="1:21" ht="14.25" customHeight="1" x14ac:dyDescent="0.2">
      <c r="A42" s="141"/>
      <c r="B42" s="156"/>
      <c r="C42" s="156"/>
      <c r="D42" s="103"/>
      <c r="E42" s="141"/>
      <c r="F42" s="111"/>
      <c r="L42" s="103"/>
      <c r="N42" s="103"/>
      <c r="O42" s="103"/>
      <c r="P42" s="103"/>
      <c r="Q42" s="103"/>
      <c r="R42" s="103"/>
      <c r="S42" s="103"/>
      <c r="T42" s="103"/>
      <c r="U42" s="103"/>
    </row>
    <row r="43" spans="1:21" ht="14.25" customHeight="1" x14ac:dyDescent="0.2">
      <c r="A43" s="141"/>
      <c r="B43" s="156"/>
      <c r="C43" s="156"/>
      <c r="D43" s="103"/>
      <c r="E43" s="141"/>
      <c r="F43" s="111"/>
      <c r="L43" s="103"/>
      <c r="N43" s="103"/>
      <c r="O43" s="103"/>
      <c r="P43" s="103"/>
      <c r="Q43" s="103"/>
      <c r="R43" s="103"/>
      <c r="S43" s="103"/>
      <c r="T43" s="103"/>
      <c r="U43" s="103"/>
    </row>
    <row r="44" spans="1:21" ht="14.25" customHeight="1" x14ac:dyDescent="0.2">
      <c r="A44" s="141" t="s">
        <v>143</v>
      </c>
      <c r="B44" s="142">
        <f>B16</f>
        <v>68916641.640000001</v>
      </c>
      <c r="C44" s="143"/>
      <c r="D44" s="144" t="s">
        <v>129</v>
      </c>
      <c r="E44" s="145">
        <v>0.15</v>
      </c>
      <c r="F44" s="146" t="s">
        <v>130</v>
      </c>
      <c r="G44" s="576" t="s">
        <v>131</v>
      </c>
      <c r="H44" s="148">
        <f>C8</f>
        <v>0.04</v>
      </c>
      <c r="I44" s="149" t="s">
        <v>132</v>
      </c>
      <c r="J44" s="148">
        <v>1</v>
      </c>
      <c r="K44" s="148" t="s">
        <v>96</v>
      </c>
      <c r="L44" s="150" t="s">
        <v>133</v>
      </c>
      <c r="M44" s="151">
        <f>B17</f>
        <v>14060776728.970001</v>
      </c>
      <c r="N44" s="144" t="s">
        <v>134</v>
      </c>
      <c r="O44" s="143">
        <v>1040</v>
      </c>
      <c r="P44" s="144" t="s">
        <v>135</v>
      </c>
      <c r="Q44" s="147" t="s">
        <v>131</v>
      </c>
      <c r="R44" s="148">
        <f>B8</f>
        <v>8.0999999999999996E-3</v>
      </c>
      <c r="S44" s="149" t="s">
        <v>132</v>
      </c>
      <c r="T44" s="148">
        <v>1</v>
      </c>
      <c r="U44" s="148" t="s">
        <v>96</v>
      </c>
    </row>
    <row r="45" spans="1:21" ht="14.25" customHeight="1" x14ac:dyDescent="0.2">
      <c r="A45" s="123"/>
      <c r="B45" s="147"/>
      <c r="C45" s="123"/>
      <c r="D45" s="152" t="s">
        <v>65</v>
      </c>
      <c r="E45" s="123"/>
      <c r="F45" s="562" t="s">
        <v>94</v>
      </c>
      <c r="G45" s="576"/>
      <c r="H45" s="103"/>
      <c r="I45" s="153" t="s">
        <v>136</v>
      </c>
      <c r="J45" s="154">
        <v>2000</v>
      </c>
      <c r="K45" s="103" t="s">
        <v>137</v>
      </c>
      <c r="L45" s="123"/>
      <c r="M45" s="123"/>
      <c r="N45" s="152" t="s">
        <v>65</v>
      </c>
      <c r="O45" s="161">
        <v>1000000</v>
      </c>
      <c r="P45" s="152" t="s">
        <v>74</v>
      </c>
      <c r="Q45" s="147"/>
      <c r="R45" s="103"/>
      <c r="S45" s="153" t="s">
        <v>136</v>
      </c>
      <c r="T45" s="154">
        <v>2000</v>
      </c>
      <c r="U45" s="103" t="s">
        <v>137</v>
      </c>
    </row>
    <row r="46" spans="1:21" ht="14.25" customHeight="1" x14ac:dyDescent="0.2">
      <c r="A46" s="103"/>
      <c r="B46" s="103"/>
      <c r="C46" s="103"/>
      <c r="D46" s="103"/>
      <c r="E46" s="103"/>
      <c r="F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</row>
    <row r="47" spans="1:21" ht="14.25" customHeight="1" x14ac:dyDescent="0.2">
      <c r="A47" s="141"/>
      <c r="B47" s="156">
        <f>(B44*E44*H44+M44*O44*R44/1000000)/2000</f>
        <v>265.97391650242162</v>
      </c>
      <c r="C47" s="156"/>
      <c r="D47" s="103" t="s">
        <v>138</v>
      </c>
      <c r="E47" s="141" t="s">
        <v>92</v>
      </c>
      <c r="F47" s="111">
        <f>B47*(2000/8760)</f>
        <v>60.724638470872513</v>
      </c>
      <c r="G47" s="103" t="s">
        <v>139</v>
      </c>
      <c r="L47" s="103" t="s">
        <v>139</v>
      </c>
      <c r="N47" s="103"/>
      <c r="O47" s="103"/>
      <c r="P47" s="103"/>
      <c r="Q47" s="103"/>
      <c r="R47" s="103"/>
      <c r="S47" s="103"/>
      <c r="T47" s="103"/>
      <c r="U47" s="103"/>
    </row>
    <row r="48" spans="1:21" ht="14.25" customHeight="1" x14ac:dyDescent="0.2">
      <c r="A48" s="103"/>
      <c r="B48" s="103"/>
      <c r="C48" s="103"/>
      <c r="D48" s="103"/>
      <c r="E48" s="103"/>
      <c r="F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</row>
    <row r="49" spans="1:21" ht="14.25" customHeight="1" x14ac:dyDescent="0.2">
      <c r="A49" s="103"/>
      <c r="B49" s="103"/>
      <c r="C49" s="103"/>
      <c r="D49" s="103"/>
      <c r="E49" s="103"/>
      <c r="F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</row>
    <row r="50" spans="1:21" ht="14.25" customHeight="1" x14ac:dyDescent="0.2">
      <c r="A50" s="141" t="s">
        <v>144</v>
      </c>
      <c r="B50" s="142">
        <f>B16</f>
        <v>68916641.640000001</v>
      </c>
      <c r="C50" s="143"/>
      <c r="D50" s="144" t="s">
        <v>129</v>
      </c>
      <c r="E50" s="145">
        <v>0.15</v>
      </c>
      <c r="F50" s="146" t="s">
        <v>130</v>
      </c>
      <c r="G50" s="576" t="s">
        <v>131</v>
      </c>
      <c r="H50" s="148">
        <f>C9</f>
        <v>3.3000000000000002E-2</v>
      </c>
      <c r="I50" s="149" t="s">
        <v>132</v>
      </c>
      <c r="J50" s="148">
        <v>1</v>
      </c>
      <c r="K50" s="148" t="s">
        <v>96</v>
      </c>
      <c r="L50" s="150" t="s">
        <v>133</v>
      </c>
      <c r="M50" s="151">
        <f>B17</f>
        <v>14060776728.970001</v>
      </c>
      <c r="N50" s="144" t="s">
        <v>134</v>
      </c>
      <c r="O50" s="143">
        <v>1040</v>
      </c>
      <c r="P50" s="144" t="s">
        <v>135</v>
      </c>
      <c r="Q50" s="147" t="s">
        <v>131</v>
      </c>
      <c r="R50" s="148">
        <f>B9</f>
        <v>7.4999999999999997E-3</v>
      </c>
      <c r="S50" s="149" t="s">
        <v>132</v>
      </c>
      <c r="T50" s="148">
        <v>1</v>
      </c>
      <c r="U50" s="148" t="s">
        <v>96</v>
      </c>
    </row>
    <row r="51" spans="1:21" ht="14.25" customHeight="1" x14ac:dyDescent="0.2">
      <c r="A51" s="123"/>
      <c r="B51" s="147"/>
      <c r="C51" s="123"/>
      <c r="D51" s="152" t="s">
        <v>65</v>
      </c>
      <c r="E51" s="123"/>
      <c r="F51" s="562" t="s">
        <v>94</v>
      </c>
      <c r="G51" s="576"/>
      <c r="H51" s="103"/>
      <c r="I51" s="153" t="s">
        <v>136</v>
      </c>
      <c r="J51" s="154">
        <v>2000</v>
      </c>
      <c r="K51" s="103" t="s">
        <v>137</v>
      </c>
      <c r="L51" s="123"/>
      <c r="M51" s="123"/>
      <c r="N51" s="152" t="s">
        <v>65</v>
      </c>
      <c r="O51" s="161">
        <v>1000000</v>
      </c>
      <c r="P51" s="152" t="s">
        <v>74</v>
      </c>
      <c r="Q51" s="147"/>
      <c r="R51" s="103"/>
      <c r="S51" s="153" t="s">
        <v>136</v>
      </c>
      <c r="T51" s="154">
        <v>2000</v>
      </c>
      <c r="U51" s="103" t="s">
        <v>137</v>
      </c>
    </row>
    <row r="52" spans="1:21" ht="14.25" customHeight="1" x14ac:dyDescent="0.2">
      <c r="A52" s="103"/>
      <c r="B52" s="103"/>
      <c r="C52" s="103"/>
      <c r="D52" s="103"/>
      <c r="E52" s="103"/>
      <c r="F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</row>
    <row r="53" spans="1:21" ht="14.25" customHeight="1" x14ac:dyDescent="0.2">
      <c r="A53" s="141"/>
      <c r="B53" s="156">
        <f>(B50*E50*H50+M50*O50*R50/1000000)/2000</f>
        <v>225.405717301983</v>
      </c>
      <c r="C53" s="156"/>
      <c r="D53" s="103" t="s">
        <v>138</v>
      </c>
      <c r="E53" s="141" t="s">
        <v>92</v>
      </c>
      <c r="F53" s="111">
        <f>B53*(2000/8760)</f>
        <v>51.462492534699315</v>
      </c>
      <c r="G53" s="103" t="s">
        <v>139</v>
      </c>
      <c r="L53" s="103" t="s">
        <v>139</v>
      </c>
      <c r="N53" s="103"/>
      <c r="O53" s="103"/>
      <c r="P53" s="103"/>
      <c r="Q53" s="103"/>
      <c r="R53" s="103"/>
      <c r="S53" s="103"/>
      <c r="T53" s="103"/>
      <c r="U53" s="103"/>
    </row>
    <row r="54" spans="1:21" ht="10.5" customHeight="1" x14ac:dyDescent="0.2">
      <c r="A54" s="103"/>
      <c r="B54" s="103"/>
      <c r="C54" s="103"/>
      <c r="D54" s="103"/>
      <c r="E54" s="103"/>
      <c r="F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</row>
    <row r="55" spans="1:21" ht="14.25" customHeight="1" x14ac:dyDescent="0.2">
      <c r="A55" s="103"/>
      <c r="B55" s="103"/>
      <c r="C55" s="103"/>
      <c r="D55" s="103"/>
      <c r="E55" s="103"/>
      <c r="F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</row>
    <row r="56" spans="1:21" ht="14.25" customHeight="1" x14ac:dyDescent="0.2">
      <c r="A56" s="141" t="s">
        <v>145</v>
      </c>
      <c r="B56" s="142">
        <f>B16</f>
        <v>68916641.640000001</v>
      </c>
      <c r="C56" s="143"/>
      <c r="D56" s="144" t="s">
        <v>129</v>
      </c>
      <c r="E56" s="145"/>
      <c r="F56" s="146"/>
      <c r="G56" s="576" t="s">
        <v>131</v>
      </c>
      <c r="H56" s="148">
        <f>(157)*B18</f>
        <v>76.40666666666668</v>
      </c>
      <c r="I56" s="149" t="s">
        <v>132</v>
      </c>
      <c r="J56" s="148">
        <v>1</v>
      </c>
      <c r="K56" s="148" t="s">
        <v>96</v>
      </c>
      <c r="L56" s="150" t="s">
        <v>133</v>
      </c>
      <c r="M56" s="151">
        <f>B17</f>
        <v>14060776728.970001</v>
      </c>
      <c r="N56" s="144" t="s">
        <v>134</v>
      </c>
      <c r="O56" s="143">
        <v>1040</v>
      </c>
      <c r="P56" s="144" t="s">
        <v>135</v>
      </c>
      <c r="Q56" s="147" t="s">
        <v>131</v>
      </c>
      <c r="R56" s="148">
        <f>B10</f>
        <v>4.0000000000000001E-3</v>
      </c>
      <c r="S56" s="149" t="s">
        <v>132</v>
      </c>
      <c r="T56" s="148">
        <v>1</v>
      </c>
      <c r="U56" s="148" t="s">
        <v>96</v>
      </c>
    </row>
    <row r="57" spans="1:21" ht="14.25" customHeight="1" x14ac:dyDescent="0.2">
      <c r="A57" s="123"/>
      <c r="B57" s="147"/>
      <c r="C57" s="123"/>
      <c r="D57" s="152" t="s">
        <v>65</v>
      </c>
      <c r="E57" s="123"/>
      <c r="F57" s="562"/>
      <c r="G57" s="576"/>
      <c r="H57" s="103">
        <v>1000</v>
      </c>
      <c r="I57" s="153" t="s">
        <v>146</v>
      </c>
      <c r="J57" s="154">
        <v>2000</v>
      </c>
      <c r="K57" s="103" t="s">
        <v>137</v>
      </c>
      <c r="L57" s="123"/>
      <c r="M57" s="123"/>
      <c r="N57" s="152" t="s">
        <v>65</v>
      </c>
      <c r="O57" s="161">
        <v>1000000</v>
      </c>
      <c r="P57" s="152" t="s">
        <v>74</v>
      </c>
      <c r="Q57" s="147"/>
      <c r="R57" s="103"/>
      <c r="S57" s="153" t="s">
        <v>136</v>
      </c>
      <c r="T57" s="154">
        <v>2000</v>
      </c>
      <c r="U57" s="103" t="s">
        <v>137</v>
      </c>
    </row>
    <row r="58" spans="1:21" ht="14.25" customHeight="1" x14ac:dyDescent="0.2">
      <c r="A58" s="103"/>
      <c r="B58" s="103"/>
      <c r="C58" s="103"/>
      <c r="D58" s="103"/>
      <c r="E58" s="103"/>
      <c r="F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</row>
    <row r="59" spans="1:21" ht="14.25" customHeight="1" x14ac:dyDescent="0.2">
      <c r="A59" s="141"/>
      <c r="B59" s="156">
        <f>(B56*H56/H57+M56*O56*R56/1000000)/2000</f>
        <v>2662.0918483830578</v>
      </c>
      <c r="C59" s="156"/>
      <c r="D59" s="103" t="s">
        <v>138</v>
      </c>
      <c r="E59" s="141" t="s">
        <v>92</v>
      </c>
      <c r="F59" s="111">
        <f>B59*(2000/8760)</f>
        <v>607.78352702809536</v>
      </c>
      <c r="G59" s="103" t="s">
        <v>139</v>
      </c>
      <c r="L59" s="103" t="s">
        <v>139</v>
      </c>
      <c r="N59" s="103"/>
      <c r="O59" s="103"/>
      <c r="P59" s="103"/>
      <c r="Q59" s="103"/>
      <c r="R59" s="103"/>
      <c r="S59" s="103"/>
      <c r="T59" s="103"/>
      <c r="U59" s="103"/>
    </row>
    <row r="60" spans="1:21" ht="14.25" customHeight="1" x14ac:dyDescent="0.2">
      <c r="A60" s="103"/>
      <c r="B60" s="103"/>
      <c r="C60" s="103"/>
      <c r="D60" s="103"/>
      <c r="E60" s="103"/>
      <c r="F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</row>
    <row r="61" spans="1:21" ht="14.25" customHeight="1" x14ac:dyDescent="0.2">
      <c r="A61" s="103"/>
      <c r="B61" s="103"/>
      <c r="C61" s="103"/>
      <c r="D61" s="103"/>
      <c r="E61" s="103"/>
      <c r="F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</row>
    <row r="62" spans="1:21" ht="14.25" customHeight="1" x14ac:dyDescent="0.2">
      <c r="A62" s="141" t="s">
        <v>147</v>
      </c>
      <c r="B62" s="142">
        <f>B16</f>
        <v>68916641.640000001</v>
      </c>
      <c r="C62" s="143"/>
      <c r="D62" s="144" t="s">
        <v>129</v>
      </c>
      <c r="E62" s="145">
        <v>0.15</v>
      </c>
      <c r="F62" s="146" t="s">
        <v>130</v>
      </c>
      <c r="G62" s="576" t="s">
        <v>131</v>
      </c>
      <c r="H62" s="148">
        <f>C11</f>
        <v>2.2589999999999999E-2</v>
      </c>
      <c r="I62" s="149" t="s">
        <v>132</v>
      </c>
      <c r="J62" s="148">
        <v>1</v>
      </c>
      <c r="K62" s="148" t="s">
        <v>96</v>
      </c>
      <c r="L62" s="150" t="s">
        <v>133</v>
      </c>
      <c r="M62" s="151">
        <f>B17</f>
        <v>14060776728.970001</v>
      </c>
      <c r="N62" s="144" t="s">
        <v>134</v>
      </c>
      <c r="O62" s="143">
        <v>1040</v>
      </c>
      <c r="P62" s="144" t="s">
        <v>135</v>
      </c>
      <c r="Q62" s="147" t="s">
        <v>131</v>
      </c>
      <c r="R62" s="148">
        <f>B11</f>
        <v>4.2999999999999999E-4</v>
      </c>
      <c r="S62" s="149" t="s">
        <v>132</v>
      </c>
      <c r="T62" s="148">
        <v>1</v>
      </c>
      <c r="U62" s="148" t="s">
        <v>96</v>
      </c>
    </row>
    <row r="63" spans="1:21" ht="14.25" customHeight="1" x14ac:dyDescent="0.2">
      <c r="A63" s="123"/>
      <c r="B63" s="147"/>
      <c r="C63" s="123"/>
      <c r="D63" s="152" t="s">
        <v>65</v>
      </c>
      <c r="E63" s="123"/>
      <c r="F63" s="562" t="s">
        <v>94</v>
      </c>
      <c r="G63" s="576"/>
      <c r="H63" s="103"/>
      <c r="I63" s="153" t="s">
        <v>136</v>
      </c>
      <c r="J63" s="154">
        <v>2000</v>
      </c>
      <c r="K63" s="103" t="s">
        <v>137</v>
      </c>
      <c r="L63" s="123"/>
      <c r="M63" s="123"/>
      <c r="N63" s="152" t="s">
        <v>65</v>
      </c>
      <c r="O63" s="161">
        <v>1000000</v>
      </c>
      <c r="P63" s="152" t="s">
        <v>74</v>
      </c>
      <c r="Q63" s="147"/>
      <c r="R63" s="103"/>
      <c r="S63" s="153" t="s">
        <v>136</v>
      </c>
      <c r="T63" s="154">
        <v>2000</v>
      </c>
      <c r="U63" s="103" t="s">
        <v>137</v>
      </c>
    </row>
    <row r="64" spans="1:21" ht="14.25" customHeight="1" x14ac:dyDescent="0.2">
      <c r="A64" s="103"/>
      <c r="B64" s="103"/>
      <c r="C64" s="103"/>
      <c r="D64" s="103"/>
      <c r="E64" s="103"/>
      <c r="F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</row>
    <row r="65" spans="1:21" ht="14.25" customHeight="1" x14ac:dyDescent="0.2">
      <c r="A65" s="141"/>
      <c r="B65" s="156">
        <f>(B62*E62*H62+M62*O62*R62/1000000)/2000</f>
        <v>119.90600977516768</v>
      </c>
      <c r="C65" s="156"/>
      <c r="D65" s="103" t="s">
        <v>138</v>
      </c>
      <c r="E65" s="141" t="s">
        <v>92</v>
      </c>
      <c r="F65" s="111">
        <f>B65*(2000/8760)</f>
        <v>27.37580131853143</v>
      </c>
      <c r="G65" s="103" t="s">
        <v>139</v>
      </c>
      <c r="L65" s="103" t="s">
        <v>139</v>
      </c>
      <c r="N65" s="103"/>
      <c r="O65" s="103"/>
      <c r="P65" s="103"/>
      <c r="Q65" s="103"/>
      <c r="R65" s="103"/>
      <c r="S65" s="103"/>
      <c r="T65" s="103"/>
      <c r="U65" s="103"/>
    </row>
    <row r="66" spans="1:21" ht="14.25" customHeight="1" x14ac:dyDescent="0.2">
      <c r="A66" s="103"/>
      <c r="B66" s="103"/>
      <c r="C66" s="103"/>
      <c r="D66" s="103"/>
      <c r="E66" s="103"/>
      <c r="F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</row>
    <row r="67" spans="1:21" ht="14.25" customHeight="1" x14ac:dyDescent="0.2">
      <c r="A67" s="103"/>
      <c r="B67" s="103"/>
      <c r="C67" s="103"/>
      <c r="D67" s="103"/>
      <c r="E67" s="103"/>
      <c r="F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</row>
    <row r="68" spans="1:21" ht="14.25" customHeight="1" x14ac:dyDescent="0.2">
      <c r="A68" s="141" t="s">
        <v>148</v>
      </c>
      <c r="B68" s="142">
        <f>B16</f>
        <v>68916641.640000001</v>
      </c>
      <c r="C68" s="143"/>
      <c r="D68" s="144" t="s">
        <v>129</v>
      </c>
      <c r="E68" s="145">
        <v>0.15</v>
      </c>
      <c r="F68" s="146" t="s">
        <v>130</v>
      </c>
      <c r="G68" s="576" t="s">
        <v>131</v>
      </c>
      <c r="H68" s="163">
        <f>C12</f>
        <v>4.6299999999999997E-6</v>
      </c>
      <c r="I68" s="149" t="s">
        <v>132</v>
      </c>
      <c r="J68" s="148">
        <v>1</v>
      </c>
      <c r="K68" s="148" t="s">
        <v>96</v>
      </c>
      <c r="L68" s="150" t="s">
        <v>133</v>
      </c>
      <c r="M68" s="151">
        <f>B17</f>
        <v>14060776728.970001</v>
      </c>
      <c r="N68" s="144" t="s">
        <v>134</v>
      </c>
      <c r="O68" s="143">
        <v>1040</v>
      </c>
      <c r="P68" s="144" t="s">
        <v>135</v>
      </c>
      <c r="Q68" s="147" t="s">
        <v>131</v>
      </c>
      <c r="R68" s="148">
        <f>B12</f>
        <v>0</v>
      </c>
      <c r="S68" s="149" t="s">
        <v>132</v>
      </c>
      <c r="T68" s="148">
        <v>1</v>
      </c>
      <c r="U68" s="148" t="s">
        <v>96</v>
      </c>
    </row>
    <row r="69" spans="1:21" ht="14.25" customHeight="1" x14ac:dyDescent="0.2">
      <c r="A69" s="123"/>
      <c r="B69" s="147"/>
      <c r="C69" s="123"/>
      <c r="D69" s="152" t="s">
        <v>65</v>
      </c>
      <c r="E69" s="123"/>
      <c r="F69" s="562" t="s">
        <v>94</v>
      </c>
      <c r="G69" s="576"/>
      <c r="H69" s="103"/>
      <c r="I69" s="153" t="s">
        <v>136</v>
      </c>
      <c r="J69" s="154">
        <v>2000</v>
      </c>
      <c r="K69" s="103" t="s">
        <v>137</v>
      </c>
      <c r="L69" s="123"/>
      <c r="M69" s="123"/>
      <c r="N69" s="152" t="s">
        <v>65</v>
      </c>
      <c r="O69" s="161">
        <v>1000000</v>
      </c>
      <c r="P69" s="152" t="s">
        <v>74</v>
      </c>
      <c r="Q69" s="147"/>
      <c r="R69" s="103"/>
      <c r="S69" s="153" t="s">
        <v>136</v>
      </c>
      <c r="T69" s="154">
        <v>2000</v>
      </c>
      <c r="U69" s="103" t="s">
        <v>137</v>
      </c>
    </row>
    <row r="70" spans="1:21" ht="14.25" customHeight="1" x14ac:dyDescent="0.2">
      <c r="A70" s="10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</row>
    <row r="71" spans="1:21" ht="14.25" customHeight="1" x14ac:dyDescent="0.2">
      <c r="A71" s="141"/>
      <c r="B71" s="156">
        <f>(B68*E68*H68+M68*O68*R68/1000000)/2000</f>
        <v>2.3931303809489997E-2</v>
      </c>
      <c r="C71" s="156"/>
      <c r="D71" s="103" t="s">
        <v>138</v>
      </c>
      <c r="E71" s="141" t="s">
        <v>92</v>
      </c>
      <c r="F71" s="111">
        <f>B71*(2000/8760)</f>
        <v>5.4637679930342456E-3</v>
      </c>
      <c r="G71" s="103" t="s">
        <v>139</v>
      </c>
      <c r="I71" s="103"/>
      <c r="J71" s="103"/>
      <c r="K71" s="103"/>
      <c r="L71" s="103"/>
      <c r="M71" s="103"/>
      <c r="N71" s="103"/>
      <c r="O71" s="103"/>
      <c r="P71" s="103"/>
    </row>
    <row r="74" spans="1:21" ht="14.25" customHeight="1" x14ac:dyDescent="0.2">
      <c r="A74" s="141" t="s">
        <v>149</v>
      </c>
      <c r="B74" s="142">
        <f>B16</f>
        <v>68916641.640000001</v>
      </c>
      <c r="C74" s="143"/>
      <c r="D74" s="144" t="s">
        <v>129</v>
      </c>
      <c r="E74" s="164">
        <f>W11</f>
        <v>25.617688884503689</v>
      </c>
      <c r="F74" s="146" t="s">
        <v>137</v>
      </c>
      <c r="G74" s="576" t="s">
        <v>131</v>
      </c>
      <c r="H74" s="148">
        <v>1</v>
      </c>
      <c r="I74" s="148" t="s">
        <v>96</v>
      </c>
      <c r="J74" s="150" t="s">
        <v>133</v>
      </c>
      <c r="M74" s="151">
        <f>B17</f>
        <v>14060776728.970001</v>
      </c>
      <c r="N74" s="144" t="s">
        <v>134</v>
      </c>
      <c r="O74" s="165">
        <f>W12</f>
        <v>0.12049378268189943</v>
      </c>
      <c r="P74" s="144" t="s">
        <v>137</v>
      </c>
      <c r="Q74" s="147" t="s">
        <v>131</v>
      </c>
      <c r="R74" s="148">
        <v>1</v>
      </c>
      <c r="S74" s="148" t="s">
        <v>96</v>
      </c>
    </row>
    <row r="75" spans="1:21" ht="14.25" customHeight="1" x14ac:dyDescent="0.2">
      <c r="A75" s="123"/>
      <c r="B75" s="147"/>
      <c r="C75" s="123"/>
      <c r="D75" s="152" t="s">
        <v>65</v>
      </c>
      <c r="E75" s="123"/>
      <c r="F75" s="562" t="s">
        <v>94</v>
      </c>
      <c r="G75" s="576"/>
      <c r="H75" s="154">
        <v>2000</v>
      </c>
      <c r="I75" s="103" t="s">
        <v>137</v>
      </c>
      <c r="J75" s="123"/>
      <c r="M75" s="123"/>
      <c r="N75" s="152" t="s">
        <v>65</v>
      </c>
      <c r="O75" s="161"/>
      <c r="P75" s="152" t="s">
        <v>74</v>
      </c>
      <c r="Q75" s="147"/>
      <c r="R75" s="154">
        <v>2000</v>
      </c>
      <c r="S75" s="103" t="s">
        <v>137</v>
      </c>
    </row>
    <row r="76" spans="1:21" ht="14.25" customHeight="1" x14ac:dyDescent="0.2">
      <c r="A76" s="103"/>
      <c r="B76" s="103"/>
      <c r="C76" s="103"/>
      <c r="D76" s="103"/>
      <c r="E76" s="103"/>
      <c r="F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</row>
    <row r="77" spans="1:21" ht="14.25" customHeight="1" x14ac:dyDescent="0.2">
      <c r="A77" s="141"/>
      <c r="B77" s="156">
        <f>(B74*E74+M74*O74)/H75</f>
        <v>1729860.6300087862</v>
      </c>
      <c r="C77" s="156"/>
      <c r="D77" s="103" t="s">
        <v>138</v>
      </c>
      <c r="E77" s="141" t="s">
        <v>92</v>
      </c>
      <c r="F77" s="111">
        <f>B77*(2000/8760)</f>
        <v>394945.34931707446</v>
      </c>
      <c r="G77" s="103" t="s">
        <v>139</v>
      </c>
      <c r="L77" s="103"/>
      <c r="N77" s="103"/>
      <c r="O77" s="103"/>
      <c r="P77" s="103"/>
      <c r="Q77" s="103"/>
      <c r="R77" s="103"/>
      <c r="S77" s="103"/>
      <c r="T77" s="103"/>
      <c r="U77" s="103"/>
    </row>
    <row r="78" spans="1:21" ht="14.25" customHeight="1" x14ac:dyDescent="0.2">
      <c r="A78" s="103"/>
      <c r="B78" s="103"/>
      <c r="C78" s="103"/>
      <c r="D78" s="103"/>
      <c r="E78" s="103"/>
      <c r="F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</row>
    <row r="79" spans="1:21" ht="14.25" customHeight="1" x14ac:dyDescent="0.2">
      <c r="A79" s="103"/>
      <c r="B79" s="103"/>
      <c r="C79" s="103"/>
      <c r="D79" s="103"/>
      <c r="E79" s="103"/>
      <c r="F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</row>
    <row r="80" spans="1:21" ht="14.25" customHeight="1" x14ac:dyDescent="0.2">
      <c r="A80" s="84"/>
      <c r="B80" s="79" t="s">
        <v>150</v>
      </c>
      <c r="C80" s="79"/>
      <c r="D80" s="79"/>
      <c r="E80" s="79"/>
      <c r="F80" s="79"/>
      <c r="G80" s="79"/>
      <c r="H80" s="79"/>
      <c r="I80" s="79"/>
      <c r="J80" s="79"/>
      <c r="K80" s="84"/>
      <c r="L80" s="84"/>
      <c r="M80" s="84"/>
      <c r="N80" s="84"/>
      <c r="O80" s="84"/>
      <c r="P80" s="84"/>
    </row>
    <row r="81" spans="2:10" ht="14.25" customHeight="1" x14ac:dyDescent="0.2">
      <c r="B81" s="79" t="s">
        <v>151</v>
      </c>
      <c r="C81" s="79"/>
      <c r="D81" s="79"/>
      <c r="E81" s="79"/>
      <c r="F81" s="79"/>
      <c r="G81" s="79"/>
      <c r="H81" s="79"/>
      <c r="I81" s="79"/>
      <c r="J81" s="79"/>
    </row>
    <row r="82" spans="2:10" ht="14.25" customHeight="1" x14ac:dyDescent="0.2">
      <c r="B82" s="79" t="s">
        <v>152</v>
      </c>
      <c r="C82" s="79"/>
      <c r="D82" s="79"/>
      <c r="E82" s="79"/>
      <c r="F82" s="79"/>
      <c r="G82" s="79"/>
      <c r="H82" s="79"/>
      <c r="I82" s="79"/>
      <c r="J82" s="79"/>
    </row>
    <row r="83" spans="2:10" ht="14.25" customHeight="1" x14ac:dyDescent="0.2">
      <c r="B83" s="79" t="s">
        <v>153</v>
      </c>
      <c r="C83" s="79"/>
      <c r="D83" s="84"/>
      <c r="E83" s="84"/>
      <c r="F83" s="84"/>
      <c r="G83" s="84"/>
      <c r="H83" s="84"/>
      <c r="I83" s="84"/>
      <c r="J83" s="84"/>
    </row>
  </sheetData>
  <mergeCells count="13">
    <mergeCell ref="G62:G63"/>
    <mergeCell ref="G68:G69"/>
    <mergeCell ref="G74:G75"/>
    <mergeCell ref="G32:G33"/>
    <mergeCell ref="G38:G39"/>
    <mergeCell ref="G44:G45"/>
    <mergeCell ref="G50:G51"/>
    <mergeCell ref="G56:G57"/>
    <mergeCell ref="A1:P1"/>
    <mergeCell ref="F6:N6"/>
    <mergeCell ref="G20:G21"/>
    <mergeCell ref="Q20:Q21"/>
    <mergeCell ref="G26:G27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R37"/>
  <sheetViews>
    <sheetView zoomScaleNormal="100" workbookViewId="0">
      <selection activeCell="L24" sqref="L24"/>
    </sheetView>
  </sheetViews>
  <sheetFormatPr defaultColWidth="8.85546875" defaultRowHeight="15" x14ac:dyDescent="0.25"/>
  <cols>
    <col min="1" max="1" width="9.42578125" style="24" customWidth="1"/>
    <col min="2" max="3" width="11.42578125" style="24" customWidth="1"/>
    <col min="4" max="4" width="14.85546875" style="24" customWidth="1"/>
    <col min="5" max="5" width="16.42578125" style="24" customWidth="1"/>
    <col min="6" max="6" width="15.140625" style="24" customWidth="1"/>
    <col min="7" max="7" width="14.85546875" style="24" customWidth="1"/>
    <col min="8" max="8" width="14.7109375" style="24" customWidth="1"/>
    <col min="9" max="9" width="13.85546875" style="24" customWidth="1"/>
    <col min="10" max="10" width="12.42578125" style="24" customWidth="1"/>
    <col min="11" max="12" width="9.28515625" style="24" customWidth="1"/>
    <col min="13" max="13" width="13" style="24" customWidth="1"/>
    <col min="14" max="14" width="19.5703125" style="24" customWidth="1"/>
    <col min="15" max="15" width="18.140625" style="24" customWidth="1"/>
    <col min="16" max="16384" width="8.85546875" style="24"/>
  </cols>
  <sheetData>
    <row r="2" spans="1:18" ht="14.25" customHeight="1" x14ac:dyDescent="0.25">
      <c r="A2" s="565" t="s">
        <v>155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</row>
    <row r="3" spans="1:18" ht="14.25" customHeight="1" x14ac:dyDescent="0.25">
      <c r="A3" s="577" t="s">
        <v>65</v>
      </c>
      <c r="B3" s="578" t="s">
        <v>64</v>
      </c>
      <c r="C3" s="578"/>
      <c r="D3" s="578"/>
      <c r="E3" s="578"/>
      <c r="F3" s="570" t="s">
        <v>62</v>
      </c>
      <c r="G3" s="570"/>
      <c r="H3" s="570"/>
      <c r="I3" s="570"/>
      <c r="J3" s="565" t="s">
        <v>63</v>
      </c>
      <c r="K3" s="565"/>
      <c r="L3" s="565"/>
      <c r="M3" s="565"/>
    </row>
    <row r="4" spans="1:18" ht="14.25" customHeight="1" x14ac:dyDescent="0.25">
      <c r="A4" s="577"/>
      <c r="B4" s="25" t="s">
        <v>156</v>
      </c>
      <c r="C4" s="25" t="s">
        <v>157</v>
      </c>
      <c r="D4" s="25" t="s">
        <v>158</v>
      </c>
      <c r="E4" s="25" t="s">
        <v>159</v>
      </c>
      <c r="F4" s="25" t="s">
        <v>156</v>
      </c>
      <c r="G4" s="25" t="s">
        <v>157</v>
      </c>
      <c r="H4" s="25" t="s">
        <v>158</v>
      </c>
      <c r="I4" s="26" t="s">
        <v>159</v>
      </c>
      <c r="J4" s="25" t="s">
        <v>156</v>
      </c>
      <c r="K4" s="25" t="s">
        <v>157</v>
      </c>
      <c r="L4" s="25" t="s">
        <v>158</v>
      </c>
      <c r="M4" s="25" t="s">
        <v>159</v>
      </c>
      <c r="P4" s="556"/>
      <c r="Q4" s="556"/>
    </row>
    <row r="5" spans="1:18" ht="14.25" customHeight="1" x14ac:dyDescent="0.25">
      <c r="A5" s="33">
        <v>45658</v>
      </c>
      <c r="B5" s="166">
        <v>0</v>
      </c>
      <c r="C5" s="166">
        <v>0</v>
      </c>
      <c r="D5" s="166">
        <v>27399.39</v>
      </c>
      <c r="E5" s="166">
        <v>0</v>
      </c>
      <c r="F5" s="167">
        <f t="shared" ref="F5:F16" si="0">B5*42</f>
        <v>0</v>
      </c>
      <c r="G5" s="167">
        <v>0</v>
      </c>
      <c r="H5" s="167">
        <f t="shared" ref="H5:H16" si="1">D5*42</f>
        <v>1150774.3799999999</v>
      </c>
      <c r="I5" s="167">
        <f t="shared" ref="I5:I16" si="2">E5*42</f>
        <v>0</v>
      </c>
      <c r="J5" s="166">
        <v>0.5</v>
      </c>
      <c r="K5" s="166" t="s">
        <v>131</v>
      </c>
      <c r="L5" s="166">
        <v>0.5</v>
      </c>
      <c r="M5" s="166" t="s">
        <v>131</v>
      </c>
      <c r="P5" s="168"/>
      <c r="Q5" s="168"/>
    </row>
    <row r="6" spans="1:18" ht="14.25" customHeight="1" x14ac:dyDescent="0.25">
      <c r="A6" s="39">
        <v>45689</v>
      </c>
      <c r="B6" s="169">
        <v>0</v>
      </c>
      <c r="C6" s="169">
        <v>0</v>
      </c>
      <c r="D6" s="169">
        <v>82985.289999999994</v>
      </c>
      <c r="E6" s="169">
        <v>0</v>
      </c>
      <c r="F6" s="170">
        <f t="shared" si="0"/>
        <v>0</v>
      </c>
      <c r="G6" s="170">
        <f t="shared" ref="G6:G16" si="3">C6*42</f>
        <v>0</v>
      </c>
      <c r="H6" s="170">
        <f t="shared" si="1"/>
        <v>3485382.1799999997</v>
      </c>
      <c r="I6" s="170">
        <f t="shared" si="2"/>
        <v>0</v>
      </c>
      <c r="J6" s="169">
        <v>0.5</v>
      </c>
      <c r="K6" s="169" t="s">
        <v>131</v>
      </c>
      <c r="L6" s="169">
        <v>0.5</v>
      </c>
      <c r="M6" s="169" t="s">
        <v>131</v>
      </c>
      <c r="P6" s="168"/>
      <c r="Q6" s="168"/>
    </row>
    <row r="7" spans="1:18" ht="14.25" customHeight="1" x14ac:dyDescent="0.25">
      <c r="A7" s="39">
        <v>45717</v>
      </c>
      <c r="B7" s="169">
        <v>0</v>
      </c>
      <c r="C7" s="169">
        <v>0</v>
      </c>
      <c r="D7" s="169">
        <v>94265.43</v>
      </c>
      <c r="E7" s="169">
        <v>0</v>
      </c>
      <c r="F7" s="170">
        <f t="shared" si="0"/>
        <v>0</v>
      </c>
      <c r="G7" s="170">
        <f t="shared" si="3"/>
        <v>0</v>
      </c>
      <c r="H7" s="170">
        <f t="shared" si="1"/>
        <v>3959148.0599999996</v>
      </c>
      <c r="I7" s="170">
        <f t="shared" si="2"/>
        <v>0</v>
      </c>
      <c r="J7" s="169">
        <v>0.5</v>
      </c>
      <c r="K7" s="169" t="s">
        <v>131</v>
      </c>
      <c r="L7" s="169">
        <v>0.5</v>
      </c>
      <c r="M7" s="169" t="s">
        <v>131</v>
      </c>
      <c r="P7" s="168"/>
      <c r="Q7" s="168"/>
    </row>
    <row r="8" spans="1:18" ht="14.25" customHeight="1" x14ac:dyDescent="0.25">
      <c r="A8" s="39">
        <v>45748</v>
      </c>
      <c r="B8" s="171">
        <v>0</v>
      </c>
      <c r="C8" s="169">
        <v>0</v>
      </c>
      <c r="D8" s="169">
        <v>84800.98</v>
      </c>
      <c r="E8" s="169">
        <v>0</v>
      </c>
      <c r="F8" s="170">
        <f t="shared" si="0"/>
        <v>0</v>
      </c>
      <c r="G8" s="170">
        <f t="shared" si="3"/>
        <v>0</v>
      </c>
      <c r="H8" s="170">
        <f t="shared" si="1"/>
        <v>3561641.1599999997</v>
      </c>
      <c r="I8" s="170">
        <f t="shared" si="2"/>
        <v>0</v>
      </c>
      <c r="J8" s="169">
        <v>0.49</v>
      </c>
      <c r="K8" s="169" t="s">
        <v>131</v>
      </c>
      <c r="L8" s="169">
        <v>0.49</v>
      </c>
      <c r="M8" s="169" t="s">
        <v>131</v>
      </c>
      <c r="P8" s="168"/>
      <c r="Q8" s="168"/>
    </row>
    <row r="9" spans="1:18" ht="14.25" customHeight="1" x14ac:dyDescent="0.25">
      <c r="A9" s="39">
        <v>45778</v>
      </c>
      <c r="B9" s="169">
        <v>0</v>
      </c>
      <c r="C9" s="169">
        <v>0</v>
      </c>
      <c r="D9" s="169">
        <v>87773.96</v>
      </c>
      <c r="E9" s="169">
        <v>0</v>
      </c>
      <c r="F9" s="170">
        <f t="shared" si="0"/>
        <v>0</v>
      </c>
      <c r="G9" s="170">
        <f t="shared" si="3"/>
        <v>0</v>
      </c>
      <c r="H9" s="170">
        <f t="shared" si="1"/>
        <v>3686506.3200000003</v>
      </c>
      <c r="I9" s="170">
        <f t="shared" si="2"/>
        <v>0</v>
      </c>
      <c r="J9" s="169">
        <v>0.49</v>
      </c>
      <c r="K9" s="169" t="s">
        <v>131</v>
      </c>
      <c r="L9" s="169">
        <v>0.49</v>
      </c>
      <c r="M9" s="169" t="s">
        <v>131</v>
      </c>
      <c r="P9" s="168"/>
      <c r="Q9" s="168"/>
    </row>
    <row r="10" spans="1:18" ht="14.25" customHeight="1" x14ac:dyDescent="0.25">
      <c r="A10" s="39">
        <v>45809</v>
      </c>
      <c r="B10" s="169">
        <v>0</v>
      </c>
      <c r="C10" s="169">
        <v>0</v>
      </c>
      <c r="D10" s="169">
        <v>95056.56</v>
      </c>
      <c r="E10" s="169">
        <v>0</v>
      </c>
      <c r="F10" s="170">
        <f t="shared" si="0"/>
        <v>0</v>
      </c>
      <c r="G10" s="170">
        <f t="shared" si="3"/>
        <v>0</v>
      </c>
      <c r="H10" s="170">
        <f t="shared" si="1"/>
        <v>3992375.52</v>
      </c>
      <c r="I10" s="170">
        <f t="shared" si="2"/>
        <v>0</v>
      </c>
      <c r="J10" s="169">
        <v>0.48</v>
      </c>
      <c r="K10" s="169" t="s">
        <v>131</v>
      </c>
      <c r="L10" s="169">
        <v>0.48</v>
      </c>
      <c r="M10" s="169" t="s">
        <v>131</v>
      </c>
      <c r="P10" s="168"/>
      <c r="Q10" s="172"/>
      <c r="R10" s="173"/>
    </row>
    <row r="11" spans="1:18" ht="14.25" customHeight="1" x14ac:dyDescent="0.25">
      <c r="A11" s="39">
        <v>45839</v>
      </c>
      <c r="B11" s="169">
        <v>0</v>
      </c>
      <c r="C11" s="169">
        <v>0</v>
      </c>
      <c r="D11" s="169">
        <v>83259.31</v>
      </c>
      <c r="E11" s="169">
        <v>0</v>
      </c>
      <c r="F11" s="170">
        <f t="shared" si="0"/>
        <v>0</v>
      </c>
      <c r="G11" s="170">
        <f t="shared" si="3"/>
        <v>0</v>
      </c>
      <c r="H11" s="170">
        <f t="shared" si="1"/>
        <v>3496891.02</v>
      </c>
      <c r="I11" s="170">
        <f t="shared" si="2"/>
        <v>0</v>
      </c>
      <c r="J11" s="169">
        <v>0.47</v>
      </c>
      <c r="K11" s="169" t="s">
        <v>131</v>
      </c>
      <c r="L11" s="169">
        <v>0.47</v>
      </c>
      <c r="M11" s="169" t="s">
        <v>131</v>
      </c>
      <c r="P11" s="168"/>
    </row>
    <row r="12" spans="1:18" ht="14.25" customHeight="1" x14ac:dyDescent="0.25">
      <c r="A12" s="39">
        <v>45870</v>
      </c>
      <c r="B12" s="169">
        <v>0</v>
      </c>
      <c r="C12" s="40">
        <v>0</v>
      </c>
      <c r="D12" s="169">
        <v>94556.97</v>
      </c>
      <c r="E12" s="169">
        <v>0</v>
      </c>
      <c r="F12" s="170">
        <f t="shared" si="0"/>
        <v>0</v>
      </c>
      <c r="G12" s="170">
        <f t="shared" si="3"/>
        <v>0</v>
      </c>
      <c r="H12" s="170">
        <f t="shared" si="1"/>
        <v>3971392.74</v>
      </c>
      <c r="I12" s="170">
        <f t="shared" si="2"/>
        <v>0</v>
      </c>
      <c r="J12" s="169">
        <v>0.47</v>
      </c>
      <c r="K12" s="169" t="s">
        <v>131</v>
      </c>
      <c r="L12" s="169">
        <v>0.47</v>
      </c>
      <c r="M12" s="169" t="s">
        <v>131</v>
      </c>
      <c r="P12" s="168"/>
    </row>
    <row r="13" spans="1:18" ht="14.25" customHeight="1" x14ac:dyDescent="0.25">
      <c r="A13" s="39">
        <v>45901</v>
      </c>
      <c r="B13" s="169">
        <v>0</v>
      </c>
      <c r="C13" s="169">
        <v>0</v>
      </c>
      <c r="D13" s="169">
        <v>75381.13</v>
      </c>
      <c r="E13" s="169">
        <v>0</v>
      </c>
      <c r="F13" s="170">
        <f t="shared" si="0"/>
        <v>0</v>
      </c>
      <c r="G13" s="170">
        <f t="shared" si="3"/>
        <v>0</v>
      </c>
      <c r="H13" s="170">
        <f t="shared" si="1"/>
        <v>3166007.46</v>
      </c>
      <c r="I13" s="170">
        <f t="shared" si="2"/>
        <v>0</v>
      </c>
      <c r="J13" s="169">
        <v>0.46</v>
      </c>
      <c r="K13" s="169" t="s">
        <v>131</v>
      </c>
      <c r="L13" s="169">
        <v>0.46</v>
      </c>
      <c r="M13" s="169" t="s">
        <v>131</v>
      </c>
      <c r="O13" s="173"/>
      <c r="P13" s="172"/>
    </row>
    <row r="14" spans="1:18" ht="14.25" customHeight="1" x14ac:dyDescent="0.25">
      <c r="A14" s="39">
        <v>45931</v>
      </c>
      <c r="B14" s="169">
        <v>0</v>
      </c>
      <c r="C14" s="169">
        <v>0</v>
      </c>
      <c r="D14" s="169">
        <v>87763.54</v>
      </c>
      <c r="E14" s="169">
        <v>0</v>
      </c>
      <c r="F14" s="170">
        <f t="shared" si="0"/>
        <v>0</v>
      </c>
      <c r="G14" s="170">
        <f t="shared" si="3"/>
        <v>0</v>
      </c>
      <c r="H14" s="170">
        <f t="shared" si="1"/>
        <v>3686068.6799999997</v>
      </c>
      <c r="I14" s="170">
        <f t="shared" si="2"/>
        <v>0</v>
      </c>
      <c r="J14" s="169">
        <v>0.47</v>
      </c>
      <c r="K14" s="169" t="s">
        <v>131</v>
      </c>
      <c r="L14" s="169">
        <v>0.47</v>
      </c>
      <c r="M14" s="169" t="s">
        <v>131</v>
      </c>
    </row>
    <row r="15" spans="1:18" ht="14.25" customHeight="1" x14ac:dyDescent="0.25">
      <c r="A15" s="39">
        <v>45962</v>
      </c>
      <c r="B15" s="169">
        <v>0</v>
      </c>
      <c r="C15" s="169">
        <v>0</v>
      </c>
      <c r="D15" s="169">
        <v>91960.04</v>
      </c>
      <c r="E15" s="169">
        <v>0</v>
      </c>
      <c r="F15" s="170">
        <f t="shared" si="0"/>
        <v>0</v>
      </c>
      <c r="G15" s="170">
        <f t="shared" si="3"/>
        <v>0</v>
      </c>
      <c r="H15" s="170">
        <f t="shared" si="1"/>
        <v>3862321.6799999997</v>
      </c>
      <c r="I15" s="170">
        <f t="shared" si="2"/>
        <v>0</v>
      </c>
      <c r="J15" s="169">
        <v>0.44</v>
      </c>
      <c r="K15" s="169" t="s">
        <v>131</v>
      </c>
      <c r="L15" s="169">
        <v>0.44</v>
      </c>
      <c r="M15" s="169" t="s">
        <v>131</v>
      </c>
    </row>
    <row r="16" spans="1:18" ht="14.25" customHeight="1" x14ac:dyDescent="0.25">
      <c r="A16" s="46">
        <v>45992</v>
      </c>
      <c r="B16" s="174">
        <v>0</v>
      </c>
      <c r="C16" s="174">
        <v>0</v>
      </c>
      <c r="D16" s="174">
        <v>81831.47</v>
      </c>
      <c r="E16" s="174">
        <v>0</v>
      </c>
      <c r="F16" s="175">
        <f t="shared" si="0"/>
        <v>0</v>
      </c>
      <c r="G16" s="175">
        <f t="shared" si="3"/>
        <v>0</v>
      </c>
      <c r="H16" s="176">
        <f t="shared" si="1"/>
        <v>3436921.74</v>
      </c>
      <c r="I16" s="175">
        <f t="shared" si="2"/>
        <v>0</v>
      </c>
      <c r="J16" s="174">
        <v>0.41</v>
      </c>
      <c r="K16" s="174" t="s">
        <v>131</v>
      </c>
      <c r="L16" s="174">
        <v>0.41</v>
      </c>
      <c r="M16" s="174" t="s">
        <v>131</v>
      </c>
    </row>
    <row r="17" spans="1:17" ht="14.25" customHeight="1" x14ac:dyDescent="0.25">
      <c r="A17" s="25" t="s">
        <v>26</v>
      </c>
      <c r="B17" s="52">
        <f t="shared" ref="B17:G17" si="4">SUM(B5:B16)</f>
        <v>0</v>
      </c>
      <c r="C17" s="52">
        <f t="shared" si="4"/>
        <v>0</v>
      </c>
      <c r="D17" s="52">
        <f t="shared" si="4"/>
        <v>987034.07</v>
      </c>
      <c r="E17" s="52">
        <f t="shared" si="4"/>
        <v>0</v>
      </c>
      <c r="F17" s="52">
        <f t="shared" si="4"/>
        <v>0</v>
      </c>
      <c r="G17" s="52">
        <f t="shared" si="4"/>
        <v>0</v>
      </c>
      <c r="H17" s="177">
        <f>D17*42</f>
        <v>41455430.939999998</v>
      </c>
      <c r="I17" s="52">
        <f>SUM(I5:I16)</f>
        <v>0</v>
      </c>
      <c r="J17" s="178">
        <f>AVERAGE(J5:J16)</f>
        <v>0.47333333333333333</v>
      </c>
      <c r="K17" s="178" t="s">
        <v>160</v>
      </c>
      <c r="L17" s="178">
        <f>AVERAGE(L5:L16)</f>
        <v>0.47333333333333333</v>
      </c>
      <c r="M17" s="178" t="s">
        <v>160</v>
      </c>
    </row>
    <row r="18" spans="1:17" ht="14.25" customHeight="1" x14ac:dyDescent="0.25">
      <c r="G18" s="179"/>
    </row>
    <row r="20" spans="1:17" ht="14.25" customHeight="1" x14ac:dyDescent="0.25">
      <c r="A20" s="565" t="s">
        <v>161</v>
      </c>
      <c r="B20" s="565"/>
      <c r="C20" s="565"/>
      <c r="D20" s="565"/>
      <c r="E20" s="565"/>
      <c r="F20" s="565"/>
      <c r="G20" s="565"/>
      <c r="H20" s="565"/>
      <c r="I20" s="565"/>
      <c r="M20" s="565" t="s">
        <v>162</v>
      </c>
      <c r="N20" s="565"/>
      <c r="O20" s="565"/>
      <c r="P20" s="565"/>
      <c r="Q20" s="565"/>
    </row>
    <row r="21" spans="1:17" ht="14.25" customHeight="1" x14ac:dyDescent="0.25">
      <c r="A21" s="577" t="s">
        <v>65</v>
      </c>
      <c r="B21" s="565" t="s">
        <v>64</v>
      </c>
      <c r="C21" s="565"/>
      <c r="D21" s="565" t="s">
        <v>62</v>
      </c>
      <c r="E21" s="565"/>
      <c r="F21" s="565" t="s">
        <v>63</v>
      </c>
      <c r="G21" s="565"/>
      <c r="H21" s="565" t="s">
        <v>163</v>
      </c>
      <c r="I21" s="565"/>
      <c r="M21" s="579" t="s">
        <v>65</v>
      </c>
      <c r="N21" s="567" t="s">
        <v>74</v>
      </c>
      <c r="O21" s="567"/>
      <c r="P21" s="568" t="s">
        <v>63</v>
      </c>
      <c r="Q21" s="568"/>
    </row>
    <row r="22" spans="1:17" ht="14.25" customHeight="1" x14ac:dyDescent="0.25">
      <c r="A22" s="577"/>
      <c r="B22" s="25" t="s">
        <v>164</v>
      </c>
      <c r="C22" s="25" t="s">
        <v>165</v>
      </c>
      <c r="D22" s="25" t="s">
        <v>164</v>
      </c>
      <c r="E22" s="25" t="s">
        <v>165</v>
      </c>
      <c r="F22" s="25" t="s">
        <v>164</v>
      </c>
      <c r="G22" s="26" t="s">
        <v>165</v>
      </c>
      <c r="H22" s="25" t="s">
        <v>164</v>
      </c>
      <c r="I22" s="25" t="s">
        <v>165</v>
      </c>
      <c r="M22" s="579"/>
      <c r="N22" s="31" t="s">
        <v>75</v>
      </c>
      <c r="O22" s="30" t="s">
        <v>76</v>
      </c>
      <c r="P22" s="31" t="s">
        <v>75</v>
      </c>
      <c r="Q22" s="32" t="s">
        <v>76</v>
      </c>
    </row>
    <row r="23" spans="1:17" ht="14.25" customHeight="1" x14ac:dyDescent="0.25">
      <c r="A23" s="56">
        <f t="shared" ref="A23:A34" si="5">A5</f>
        <v>45658</v>
      </c>
      <c r="B23" s="166">
        <v>34419.81</v>
      </c>
      <c r="C23" s="166">
        <v>0</v>
      </c>
      <c r="D23" s="180">
        <f t="shared" ref="D23:D34" si="6">SUM(B23*42)</f>
        <v>1445632.02</v>
      </c>
      <c r="E23" s="180">
        <f t="shared" ref="E23:E34" si="7">SUM(C23*42)</f>
        <v>0</v>
      </c>
      <c r="F23" s="181">
        <v>4.6000000000000001E-4</v>
      </c>
      <c r="G23" s="181">
        <v>4.6000000000000001E-4</v>
      </c>
      <c r="H23" s="166">
        <v>700.1</v>
      </c>
      <c r="I23" s="166">
        <v>0</v>
      </c>
      <c r="M23" s="56">
        <f t="shared" ref="M23:M34" si="8">A5</f>
        <v>45658</v>
      </c>
      <c r="N23" s="69">
        <v>812105213.96000004</v>
      </c>
      <c r="O23" s="69">
        <v>0</v>
      </c>
      <c r="P23" s="182">
        <v>1E-3</v>
      </c>
      <c r="Q23" s="182">
        <v>1E-3</v>
      </c>
    </row>
    <row r="24" spans="1:17" ht="14.25" customHeight="1" x14ac:dyDescent="0.25">
      <c r="A24" s="60">
        <f t="shared" si="5"/>
        <v>45689</v>
      </c>
      <c r="B24" s="169">
        <v>68043.8</v>
      </c>
      <c r="C24" s="169">
        <v>0</v>
      </c>
      <c r="D24" s="183">
        <f t="shared" si="6"/>
        <v>2857839.6</v>
      </c>
      <c r="E24" s="183">
        <f t="shared" si="7"/>
        <v>0</v>
      </c>
      <c r="F24" s="184">
        <v>5.5000000000000003E-4</v>
      </c>
      <c r="G24" s="184">
        <v>5.5000000000000003E-4</v>
      </c>
      <c r="H24" s="169">
        <v>611.5</v>
      </c>
      <c r="I24" s="169">
        <v>0</v>
      </c>
      <c r="M24" s="60">
        <f t="shared" si="8"/>
        <v>45689</v>
      </c>
      <c r="N24" s="71">
        <v>450238185.66000003</v>
      </c>
      <c r="O24" s="71">
        <v>0</v>
      </c>
      <c r="P24" s="182">
        <v>1E-3</v>
      </c>
      <c r="Q24" s="182">
        <v>1E-3</v>
      </c>
    </row>
    <row r="25" spans="1:17" ht="14.25" customHeight="1" x14ac:dyDescent="0.25">
      <c r="A25" s="60">
        <f t="shared" si="5"/>
        <v>45717</v>
      </c>
      <c r="B25" s="169">
        <v>128810.15</v>
      </c>
      <c r="C25" s="169">
        <v>0</v>
      </c>
      <c r="D25" s="183">
        <f t="shared" si="6"/>
        <v>5410026.2999999998</v>
      </c>
      <c r="E25" s="183">
        <f t="shared" si="7"/>
        <v>0</v>
      </c>
      <c r="F25" s="184">
        <v>4.6000000000000001E-4</v>
      </c>
      <c r="G25" s="184">
        <v>4.6000000000000001E-4</v>
      </c>
      <c r="H25" s="169">
        <v>723.6</v>
      </c>
      <c r="I25" s="169">
        <v>0</v>
      </c>
      <c r="M25" s="60">
        <f t="shared" si="8"/>
        <v>45717</v>
      </c>
      <c r="N25" s="71">
        <v>271562882.81999999</v>
      </c>
      <c r="O25" s="71">
        <v>0</v>
      </c>
      <c r="P25" s="182">
        <v>1E-3</v>
      </c>
      <c r="Q25" s="182">
        <v>1E-3</v>
      </c>
    </row>
    <row r="26" spans="1:17" ht="14.25" customHeight="1" x14ac:dyDescent="0.25">
      <c r="A26" s="60">
        <f t="shared" si="5"/>
        <v>45748</v>
      </c>
      <c r="B26" s="169">
        <v>101901.78</v>
      </c>
      <c r="C26" s="169">
        <v>0</v>
      </c>
      <c r="D26" s="183">
        <f t="shared" si="6"/>
        <v>4279874.76</v>
      </c>
      <c r="E26" s="183">
        <f t="shared" si="7"/>
        <v>0</v>
      </c>
      <c r="F26" s="184">
        <v>1E-3</v>
      </c>
      <c r="G26" s="184">
        <v>1E-3</v>
      </c>
      <c r="H26" s="169">
        <v>710.9</v>
      </c>
      <c r="I26" s="169">
        <v>0</v>
      </c>
      <c r="M26" s="60">
        <f t="shared" si="8"/>
        <v>45748</v>
      </c>
      <c r="N26" s="71">
        <v>417577387.25999999</v>
      </c>
      <c r="O26" s="71">
        <v>0</v>
      </c>
      <c r="P26" s="182">
        <v>1E-3</v>
      </c>
      <c r="Q26" s="182">
        <v>1E-3</v>
      </c>
    </row>
    <row r="27" spans="1:17" ht="14.25" customHeight="1" x14ac:dyDescent="0.25">
      <c r="A27" s="60">
        <f t="shared" si="5"/>
        <v>45778</v>
      </c>
      <c r="B27" s="169">
        <v>19511.8</v>
      </c>
      <c r="C27" s="169">
        <v>4723.3900000000003</v>
      </c>
      <c r="D27" s="183">
        <f t="shared" si="6"/>
        <v>819495.6</v>
      </c>
      <c r="E27" s="183">
        <f t="shared" si="7"/>
        <v>198382.38</v>
      </c>
      <c r="F27" s="184">
        <v>5.9999999999999995E-4</v>
      </c>
      <c r="G27" s="184">
        <v>5.9999999999999995E-4</v>
      </c>
      <c r="H27" s="169">
        <v>624.4</v>
      </c>
      <c r="I27" s="169">
        <v>278.3</v>
      </c>
      <c r="M27" s="60">
        <f t="shared" si="8"/>
        <v>45778</v>
      </c>
      <c r="N27" s="71">
        <v>822289211.36000001</v>
      </c>
      <c r="O27" s="71">
        <v>362953163</v>
      </c>
      <c r="P27" s="182">
        <v>1E-4</v>
      </c>
      <c r="Q27" s="182">
        <v>1E-3</v>
      </c>
    </row>
    <row r="28" spans="1:17" ht="14.25" customHeight="1" x14ac:dyDescent="0.25">
      <c r="A28" s="60">
        <f t="shared" si="5"/>
        <v>45809</v>
      </c>
      <c r="B28" s="169">
        <v>25971.14</v>
      </c>
      <c r="C28" s="169">
        <v>18960.82</v>
      </c>
      <c r="D28" s="183">
        <f t="shared" si="6"/>
        <v>1090787.8799999999</v>
      </c>
      <c r="E28" s="183">
        <f t="shared" si="7"/>
        <v>796354.44</v>
      </c>
      <c r="F28" s="184">
        <v>5.9999999999999995E-4</v>
      </c>
      <c r="G28" s="184">
        <v>5.9999999999999995E-4</v>
      </c>
      <c r="H28" s="169">
        <v>701.4</v>
      </c>
      <c r="I28" s="169">
        <v>704.2</v>
      </c>
      <c r="M28" s="60">
        <f t="shared" si="8"/>
        <v>45809</v>
      </c>
      <c r="N28" s="71">
        <v>881008248.34000003</v>
      </c>
      <c r="O28" s="71">
        <v>916670375.03999996</v>
      </c>
      <c r="P28" s="182">
        <v>1E-3</v>
      </c>
      <c r="Q28" s="182">
        <v>1E-3</v>
      </c>
    </row>
    <row r="29" spans="1:17" ht="14.25" customHeight="1" x14ac:dyDescent="0.25">
      <c r="A29" s="60">
        <f t="shared" si="5"/>
        <v>45839</v>
      </c>
      <c r="B29" s="169">
        <v>37966.53</v>
      </c>
      <c r="C29" s="169">
        <v>44514.26</v>
      </c>
      <c r="D29" s="183">
        <f t="shared" si="6"/>
        <v>1594594.26</v>
      </c>
      <c r="E29" s="183">
        <f t="shared" si="7"/>
        <v>1869598.9200000002</v>
      </c>
      <c r="F29" s="184">
        <v>5.9999999999999995E-4</v>
      </c>
      <c r="G29" s="184">
        <v>5.9999999999999995E-4</v>
      </c>
      <c r="H29" s="169">
        <v>726.4</v>
      </c>
      <c r="I29" s="169">
        <v>550</v>
      </c>
      <c r="M29" s="60">
        <f t="shared" si="8"/>
        <v>45839</v>
      </c>
      <c r="N29" s="185">
        <v>816790064</v>
      </c>
      <c r="O29" s="185">
        <v>549887070.85000002</v>
      </c>
      <c r="P29" s="182">
        <v>1E-3</v>
      </c>
      <c r="Q29" s="182">
        <v>1E-3</v>
      </c>
    </row>
    <row r="30" spans="1:17" ht="14.25" customHeight="1" x14ac:dyDescent="0.25">
      <c r="A30" s="60">
        <f t="shared" si="5"/>
        <v>45870</v>
      </c>
      <c r="B30" s="169">
        <v>19269.669999999998</v>
      </c>
      <c r="C30" s="169">
        <v>15650.72</v>
      </c>
      <c r="D30" s="183">
        <f t="shared" si="6"/>
        <v>809326.1399999999</v>
      </c>
      <c r="E30" s="183">
        <f t="shared" si="7"/>
        <v>657330.24</v>
      </c>
      <c r="F30" s="184">
        <v>1E-3</v>
      </c>
      <c r="G30" s="184">
        <v>1E-3</v>
      </c>
      <c r="H30" s="169">
        <v>667.4</v>
      </c>
      <c r="I30" s="169">
        <v>300.60000000000002</v>
      </c>
      <c r="M30" s="60">
        <f t="shared" si="8"/>
        <v>45870</v>
      </c>
      <c r="N30" s="185">
        <v>818171065.86000001</v>
      </c>
      <c r="O30" s="185">
        <v>475022375.55000001</v>
      </c>
      <c r="P30" s="182">
        <v>1E-3</v>
      </c>
      <c r="Q30" s="182">
        <v>1E-3</v>
      </c>
    </row>
    <row r="31" spans="1:17" ht="14.25" customHeight="1" x14ac:dyDescent="0.25">
      <c r="A31" s="60">
        <f t="shared" si="5"/>
        <v>45901</v>
      </c>
      <c r="B31" s="40">
        <v>28984.93</v>
      </c>
      <c r="C31" s="169">
        <v>29524.3</v>
      </c>
      <c r="D31" s="183">
        <f t="shared" si="6"/>
        <v>1217367.06</v>
      </c>
      <c r="E31" s="183">
        <f t="shared" si="7"/>
        <v>1240020.5999999999</v>
      </c>
      <c r="F31" s="184">
        <v>1E-3</v>
      </c>
      <c r="G31" s="184">
        <v>1E-3</v>
      </c>
      <c r="H31" s="169">
        <v>641.79999999999995</v>
      </c>
      <c r="I31" s="169">
        <v>568.71</v>
      </c>
      <c r="M31" s="60">
        <f t="shared" si="8"/>
        <v>45901</v>
      </c>
      <c r="N31" s="185">
        <v>770916239.36000001</v>
      </c>
      <c r="O31" s="185">
        <v>677768314.94000006</v>
      </c>
      <c r="P31" s="182">
        <v>1E-3</v>
      </c>
      <c r="Q31" s="182">
        <v>1E-3</v>
      </c>
    </row>
    <row r="32" spans="1:17" ht="14.25" customHeight="1" x14ac:dyDescent="0.25">
      <c r="A32" s="60">
        <f t="shared" si="5"/>
        <v>45931</v>
      </c>
      <c r="B32" s="169">
        <v>56840.67</v>
      </c>
      <c r="C32" s="169">
        <v>78697.23</v>
      </c>
      <c r="D32" s="183">
        <f t="shared" si="6"/>
        <v>2387308.14</v>
      </c>
      <c r="E32" s="183">
        <f t="shared" si="7"/>
        <v>3305283.6599999997</v>
      </c>
      <c r="F32" s="184">
        <v>6.9999999999999999E-4</v>
      </c>
      <c r="G32" s="184">
        <v>6.9999999999999999E-4</v>
      </c>
      <c r="H32" s="169">
        <v>656.1</v>
      </c>
      <c r="I32" s="169">
        <v>722.7</v>
      </c>
      <c r="M32" s="60">
        <f t="shared" si="8"/>
        <v>45931</v>
      </c>
      <c r="N32" s="185">
        <v>585164644.74000001</v>
      </c>
      <c r="O32" s="185">
        <v>538312828.05999994</v>
      </c>
      <c r="P32" s="182">
        <v>1E-3</v>
      </c>
      <c r="Q32" s="182">
        <v>1E-3</v>
      </c>
    </row>
    <row r="33" spans="1:17" ht="14.25" customHeight="1" x14ac:dyDescent="0.25">
      <c r="A33" s="60">
        <f t="shared" si="5"/>
        <v>45962</v>
      </c>
      <c r="B33" s="169">
        <v>16740.82</v>
      </c>
      <c r="C33" s="169">
        <v>37683.24</v>
      </c>
      <c r="D33" s="183">
        <f t="shared" si="6"/>
        <v>703114.44</v>
      </c>
      <c r="E33" s="183">
        <f t="shared" si="7"/>
        <v>1582696.0799999998</v>
      </c>
      <c r="F33" s="184">
        <v>1E-3</v>
      </c>
      <c r="G33" s="184">
        <v>1E-3</v>
      </c>
      <c r="H33" s="169">
        <v>432.8</v>
      </c>
      <c r="I33" s="169">
        <v>718.5</v>
      </c>
      <c r="M33" s="60">
        <f t="shared" si="8"/>
        <v>45962</v>
      </c>
      <c r="N33" s="185">
        <v>518740758.77999997</v>
      </c>
      <c r="O33" s="185">
        <v>781962680.58000004</v>
      </c>
      <c r="P33" s="182">
        <v>1E-3</v>
      </c>
      <c r="Q33" s="182">
        <v>1E-3</v>
      </c>
    </row>
    <row r="34" spans="1:17" ht="14.25" customHeight="1" x14ac:dyDescent="0.25">
      <c r="A34" s="63">
        <f t="shared" si="5"/>
        <v>45992</v>
      </c>
      <c r="B34" s="174">
        <v>1419.96</v>
      </c>
      <c r="C34" s="186">
        <v>7557.06</v>
      </c>
      <c r="D34" s="187">
        <f t="shared" si="6"/>
        <v>59638.32</v>
      </c>
      <c r="E34" s="187">
        <f t="shared" si="7"/>
        <v>317396.52</v>
      </c>
      <c r="F34" s="188">
        <v>1E-3</v>
      </c>
      <c r="G34" s="188">
        <v>1E-3</v>
      </c>
      <c r="H34" s="174">
        <v>175.72</v>
      </c>
      <c r="I34" s="174">
        <v>359.82</v>
      </c>
      <c r="M34" s="63">
        <f t="shared" si="8"/>
        <v>45992</v>
      </c>
      <c r="N34" s="189">
        <v>234449446.91</v>
      </c>
      <c r="O34" s="189">
        <v>485828341.75999999</v>
      </c>
      <c r="P34" s="182">
        <v>1E-3</v>
      </c>
      <c r="Q34" s="182">
        <v>1E-3</v>
      </c>
    </row>
    <row r="35" spans="1:17" ht="14.25" customHeight="1" x14ac:dyDescent="0.25">
      <c r="A35" s="27" t="s">
        <v>26</v>
      </c>
      <c r="B35" s="52">
        <f>SUM(B23:B34)</f>
        <v>539881.05999999994</v>
      </c>
      <c r="C35" s="52">
        <f>SUM(C23:C34)</f>
        <v>237311.02</v>
      </c>
      <c r="D35" s="52">
        <f>SUM(D23:D34)</f>
        <v>22675004.520000003</v>
      </c>
      <c r="E35" s="52">
        <f>SUM(E23:E34)</f>
        <v>9967062.8399999999</v>
      </c>
      <c r="F35" s="190">
        <f>AVERAGE(F23:F34)</f>
        <v>7.474999999999999E-4</v>
      </c>
      <c r="G35" s="190">
        <f>AVERAGE(G23:G34)</f>
        <v>7.474999999999999E-4</v>
      </c>
      <c r="H35" s="191">
        <f>SUM(H23:H34)</f>
        <v>7372.1200000000008</v>
      </c>
      <c r="I35" s="191">
        <f>SUM(I23:I34)</f>
        <v>4202.83</v>
      </c>
      <c r="M35" s="25" t="s">
        <v>77</v>
      </c>
      <c r="N35" s="77">
        <f>SUM(N23:N34)</f>
        <v>7399013349.0499983</v>
      </c>
      <c r="O35" s="77">
        <f>SUM(O23:O34)</f>
        <v>4788405149.7800007</v>
      </c>
      <c r="P35" s="192">
        <v>1E-3</v>
      </c>
      <c r="Q35" s="192">
        <v>1E-3</v>
      </c>
    </row>
    <row r="37" spans="1:17" ht="14.25" customHeight="1" x14ac:dyDescent="0.25">
      <c r="E37" s="179"/>
    </row>
  </sheetData>
  <mergeCells count="15">
    <mergeCell ref="A20:I20"/>
    <mergeCell ref="M20:Q20"/>
    <mergeCell ref="A21:A22"/>
    <mergeCell ref="B21:C21"/>
    <mergeCell ref="D21:E21"/>
    <mergeCell ref="F21:G21"/>
    <mergeCell ref="H21:I21"/>
    <mergeCell ref="M21:M22"/>
    <mergeCell ref="N21:O21"/>
    <mergeCell ref="P21:Q21"/>
    <mergeCell ref="A2:M2"/>
    <mergeCell ref="A3:A4"/>
    <mergeCell ref="B3:E3"/>
    <mergeCell ref="F3:I3"/>
    <mergeCell ref="J3:M3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03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1" width="14.5703125" customWidth="1"/>
    <col min="2" max="2" width="14.7109375" customWidth="1"/>
    <col min="3" max="3" width="10.28515625" customWidth="1"/>
    <col min="4" max="4" width="16.42578125" customWidth="1"/>
    <col min="6" max="6" width="10" customWidth="1"/>
    <col min="7" max="7" width="4.85546875" customWidth="1"/>
    <col min="9" max="9" width="6.7109375" customWidth="1"/>
    <col min="11" max="11" width="3.140625" customWidth="1"/>
  </cols>
  <sheetData>
    <row r="1" spans="1:19" ht="14.25" customHeight="1" x14ac:dyDescent="0.2">
      <c r="A1" s="571" t="s">
        <v>166</v>
      </c>
      <c r="B1" s="571"/>
      <c r="C1" s="571"/>
      <c r="D1" s="571"/>
      <c r="E1" s="571"/>
      <c r="F1" s="571"/>
      <c r="G1" s="571"/>
      <c r="H1" s="571"/>
    </row>
    <row r="3" spans="1:19" ht="14.25" customHeight="1" x14ac:dyDescent="0.2">
      <c r="A3" s="193" t="s">
        <v>167</v>
      </c>
      <c r="B3" s="194"/>
      <c r="C3" s="194"/>
      <c r="D3" s="84"/>
      <c r="E3" s="84"/>
      <c r="F3" s="84"/>
      <c r="G3" s="84"/>
      <c r="H3" s="84"/>
    </row>
    <row r="4" spans="1:19" ht="14.25" customHeight="1" x14ac:dyDescent="0.2">
      <c r="A4" s="193"/>
      <c r="B4" s="194"/>
      <c r="C4" s="194"/>
      <c r="D4" s="84"/>
      <c r="E4" s="84"/>
      <c r="F4" s="84"/>
      <c r="G4" s="84"/>
      <c r="H4" s="84"/>
    </row>
    <row r="5" spans="1:19" ht="14.25" customHeight="1" x14ac:dyDescent="0.2">
      <c r="A5" s="84" t="s">
        <v>18</v>
      </c>
      <c r="B5" s="84" t="s">
        <v>168</v>
      </c>
      <c r="C5" s="84"/>
      <c r="D5" s="84" t="s">
        <v>169</v>
      </c>
      <c r="E5" s="84"/>
      <c r="F5" s="84"/>
      <c r="G5" s="84"/>
      <c r="H5" s="84"/>
    </row>
    <row r="6" spans="1:19" ht="14.25" customHeight="1" x14ac:dyDescent="0.2">
      <c r="A6" s="84" t="s">
        <v>17</v>
      </c>
      <c r="B6" s="84" t="s">
        <v>170</v>
      </c>
      <c r="C6" s="84"/>
      <c r="D6" s="84" t="s">
        <v>171</v>
      </c>
      <c r="E6" s="84"/>
      <c r="F6" s="84"/>
      <c r="G6" s="84"/>
      <c r="H6" s="84"/>
    </row>
    <row r="7" spans="1:19" ht="14.25" customHeight="1" x14ac:dyDescent="0.2">
      <c r="A7" s="84" t="s">
        <v>19</v>
      </c>
      <c r="B7" s="84" t="s">
        <v>172</v>
      </c>
      <c r="C7" s="84"/>
      <c r="D7" s="84" t="s">
        <v>173</v>
      </c>
      <c r="E7" s="84"/>
      <c r="F7" s="84"/>
      <c r="G7" s="84"/>
      <c r="H7" s="84"/>
    </row>
    <row r="8" spans="1:19" ht="14.25" customHeight="1" x14ac:dyDescent="0.2">
      <c r="A8" s="84" t="s">
        <v>42</v>
      </c>
      <c r="B8" s="84" t="s">
        <v>174</v>
      </c>
      <c r="C8" s="84"/>
      <c r="D8" s="84"/>
      <c r="E8" s="84"/>
      <c r="F8" s="84"/>
      <c r="G8" s="84"/>
      <c r="H8" s="84"/>
    </row>
    <row r="9" spans="1:19" ht="14.25" customHeight="1" x14ac:dyDescent="0.2">
      <c r="A9" s="84" t="s">
        <v>175</v>
      </c>
      <c r="B9" s="84" t="s">
        <v>176</v>
      </c>
      <c r="C9" s="84"/>
      <c r="D9" s="84" t="s">
        <v>177</v>
      </c>
      <c r="E9" s="84"/>
      <c r="F9" s="84"/>
      <c r="G9" s="84"/>
      <c r="H9" s="84"/>
    </row>
    <row r="10" spans="1:19" ht="14.25" customHeight="1" x14ac:dyDescent="0.2">
      <c r="A10" s="84" t="s">
        <v>178</v>
      </c>
      <c r="B10" s="84" t="s">
        <v>179</v>
      </c>
      <c r="C10" s="84"/>
      <c r="D10" s="84" t="s">
        <v>180</v>
      </c>
      <c r="E10" s="84"/>
      <c r="F10" s="84"/>
      <c r="G10" s="84"/>
      <c r="H10" s="84"/>
    </row>
    <row r="11" spans="1:19" ht="14.25" customHeight="1" x14ac:dyDescent="0.2">
      <c r="A11" s="84" t="s">
        <v>22</v>
      </c>
      <c r="B11" s="84" t="s">
        <v>181</v>
      </c>
      <c r="C11" s="84"/>
      <c r="D11" s="84" t="s">
        <v>173</v>
      </c>
      <c r="E11" s="84"/>
      <c r="F11" s="84"/>
      <c r="G11" s="84"/>
      <c r="H11" s="84"/>
    </row>
    <row r="12" spans="1:19" ht="14.25" customHeight="1" x14ac:dyDescent="0.2">
      <c r="A12" s="84" t="s">
        <v>21</v>
      </c>
      <c r="B12" s="84" t="s">
        <v>182</v>
      </c>
      <c r="C12" s="84"/>
      <c r="D12" s="84" t="s">
        <v>173</v>
      </c>
      <c r="E12" s="84"/>
      <c r="F12" s="84"/>
      <c r="G12" s="84"/>
      <c r="H12" s="84"/>
    </row>
    <row r="13" spans="1:19" ht="14.25" customHeight="1" x14ac:dyDescent="0.2">
      <c r="A13" s="195" t="s">
        <v>23</v>
      </c>
      <c r="B13" s="84" t="s">
        <v>183</v>
      </c>
      <c r="C13" s="84"/>
      <c r="D13" s="84"/>
      <c r="E13" s="84"/>
      <c r="F13" s="84"/>
      <c r="G13" s="84"/>
      <c r="H13" s="84"/>
    </row>
    <row r="14" spans="1:19" ht="14.25" customHeight="1" x14ac:dyDescent="0.2">
      <c r="A14" s="195" t="s">
        <v>24</v>
      </c>
      <c r="B14" s="84" t="s">
        <v>184</v>
      </c>
      <c r="C14" s="84"/>
      <c r="D14" s="84" t="s">
        <v>185</v>
      </c>
      <c r="E14" s="84"/>
      <c r="F14" s="84"/>
      <c r="G14" s="84"/>
      <c r="H14" s="84"/>
      <c r="R14">
        <f>(515657.4+515.5+1229.1)*2204.6/45826002</f>
        <v>24.891205852956581</v>
      </c>
      <c r="S14" t="s">
        <v>119</v>
      </c>
    </row>
    <row r="16" spans="1:19" ht="14.25" customHeight="1" x14ac:dyDescent="0.2">
      <c r="A16" s="84" t="s">
        <v>186</v>
      </c>
      <c r="B16" s="196">
        <f>SUM('San Juan'!F17+'San Juan'!G17)</f>
        <v>0</v>
      </c>
      <c r="C16" s="84" t="s">
        <v>187</v>
      </c>
      <c r="D16" s="84"/>
      <c r="E16" s="84"/>
      <c r="F16" s="84"/>
      <c r="G16" s="84"/>
      <c r="H16" s="84"/>
    </row>
    <row r="17" spans="1:9" ht="14.25" customHeight="1" x14ac:dyDescent="0.2">
      <c r="A17" s="84" t="s">
        <v>186</v>
      </c>
      <c r="B17" s="196">
        <f>SUM('San Juan'!H17+'San Juan'!I17)</f>
        <v>41455430.939999998</v>
      </c>
      <c r="C17" s="84" t="s">
        <v>188</v>
      </c>
      <c r="D17" s="84"/>
      <c r="E17" s="84"/>
      <c r="F17" s="84"/>
      <c r="G17" s="84"/>
      <c r="H17" s="84"/>
    </row>
    <row r="18" spans="1:9" ht="14.25" customHeight="1" x14ac:dyDescent="0.2">
      <c r="A18" s="84" t="s">
        <v>189</v>
      </c>
      <c r="B18" s="197">
        <f>SUM('San Juan'!J17+'San Juan'!L17)/2</f>
        <v>0.47333333333333333</v>
      </c>
      <c r="C18" s="84"/>
      <c r="D18" s="198" t="s">
        <v>190</v>
      </c>
      <c r="E18" s="84"/>
      <c r="F18" s="84"/>
      <c r="G18" s="84"/>
      <c r="H18" s="84"/>
    </row>
    <row r="19" spans="1:9" ht="14.25" customHeight="1" x14ac:dyDescent="0.2">
      <c r="A19" s="84"/>
      <c r="B19" s="196"/>
      <c r="C19" s="84"/>
      <c r="D19" s="84"/>
      <c r="E19" s="84"/>
      <c r="F19" s="84"/>
      <c r="G19" s="84"/>
      <c r="H19" s="84"/>
    </row>
    <row r="21" spans="1:9" ht="14.25" customHeight="1" x14ac:dyDescent="0.2">
      <c r="A21" s="84" t="s">
        <v>191</v>
      </c>
      <c r="B21" s="84"/>
      <c r="C21" s="84"/>
      <c r="D21" s="84"/>
      <c r="E21" s="84"/>
      <c r="F21" s="84"/>
      <c r="G21" s="84"/>
      <c r="H21" s="84"/>
      <c r="I21" s="84"/>
    </row>
    <row r="23" spans="1:9" ht="14.25" customHeight="1" x14ac:dyDescent="0.2">
      <c r="A23" s="199" t="s">
        <v>92</v>
      </c>
      <c r="B23" s="554">
        <v>0.04</v>
      </c>
      <c r="C23" s="200" t="s">
        <v>137</v>
      </c>
      <c r="D23" s="109">
        <f>B16+B17</f>
        <v>41455430.939999998</v>
      </c>
      <c r="E23" s="200" t="s">
        <v>94</v>
      </c>
      <c r="F23" s="580" t="s">
        <v>96</v>
      </c>
      <c r="G23" s="580"/>
      <c r="H23" s="554">
        <v>0.15</v>
      </c>
      <c r="I23" s="201" t="s">
        <v>136</v>
      </c>
    </row>
    <row r="24" spans="1:9" ht="14.25" customHeight="1" x14ac:dyDescent="0.2">
      <c r="A24" s="84"/>
      <c r="B24" s="581" t="s">
        <v>136</v>
      </c>
      <c r="C24" s="581"/>
      <c r="D24" s="576" t="s">
        <v>65</v>
      </c>
      <c r="E24" s="576"/>
      <c r="F24" s="147">
        <v>2000</v>
      </c>
      <c r="G24" s="123" t="s">
        <v>137</v>
      </c>
      <c r="H24" s="581" t="s">
        <v>94</v>
      </c>
      <c r="I24" s="581"/>
    </row>
    <row r="26" spans="1:9" ht="14.25" customHeight="1" x14ac:dyDescent="0.2">
      <c r="A26" s="199" t="s">
        <v>92</v>
      </c>
      <c r="B26" s="196">
        <f>((B23*D23*H23)/F24)</f>
        <v>124.36629281999998</v>
      </c>
      <c r="C26" s="202" t="s">
        <v>96</v>
      </c>
      <c r="D26" s="84"/>
      <c r="E26" s="84"/>
      <c r="F26" s="84"/>
      <c r="G26" s="84"/>
      <c r="H26" s="84"/>
      <c r="I26" s="84"/>
    </row>
    <row r="27" spans="1:9" ht="14.25" customHeight="1" x14ac:dyDescent="0.2">
      <c r="A27" s="84"/>
      <c r="B27" s="84"/>
      <c r="C27" s="194" t="s">
        <v>65</v>
      </c>
      <c r="D27" s="84"/>
      <c r="E27" s="84"/>
      <c r="F27" s="84"/>
      <c r="G27" s="84"/>
      <c r="H27" s="84"/>
      <c r="I27" s="84"/>
    </row>
    <row r="29" spans="1:9" ht="14.25" customHeight="1" x14ac:dyDescent="0.2">
      <c r="A29" s="84" t="s">
        <v>91</v>
      </c>
      <c r="B29" s="84"/>
      <c r="C29" s="84"/>
      <c r="D29" s="84"/>
      <c r="E29" s="84"/>
      <c r="F29" s="84"/>
      <c r="G29" s="84"/>
      <c r="H29" s="84"/>
      <c r="I29" s="84"/>
    </row>
    <row r="31" spans="1:9" ht="14.25" customHeight="1" x14ac:dyDescent="0.2">
      <c r="A31" s="199" t="s">
        <v>92</v>
      </c>
      <c r="B31" s="554">
        <v>0.03</v>
      </c>
      <c r="C31" s="200" t="s">
        <v>137</v>
      </c>
      <c r="D31" s="109">
        <f>D23</f>
        <v>41455430.939999998</v>
      </c>
      <c r="E31" s="200" t="s">
        <v>94</v>
      </c>
      <c r="F31" s="580" t="s">
        <v>96</v>
      </c>
      <c r="G31" s="580"/>
      <c r="H31" s="554">
        <v>0.15</v>
      </c>
      <c r="I31" s="201" t="s">
        <v>136</v>
      </c>
    </row>
    <row r="32" spans="1:9" ht="14.25" customHeight="1" x14ac:dyDescent="0.2">
      <c r="A32" s="84"/>
      <c r="B32" s="581" t="s">
        <v>136</v>
      </c>
      <c r="C32" s="581"/>
      <c r="D32" s="576" t="s">
        <v>65</v>
      </c>
      <c r="E32" s="576"/>
      <c r="F32" s="147">
        <v>2000</v>
      </c>
      <c r="G32" s="123" t="s">
        <v>137</v>
      </c>
      <c r="H32" s="581" t="s">
        <v>94</v>
      </c>
      <c r="I32" s="581"/>
    </row>
    <row r="34" spans="1:11" ht="14.25" customHeight="1" x14ac:dyDescent="0.2">
      <c r="A34" s="199" t="s">
        <v>92</v>
      </c>
      <c r="B34" s="196">
        <f>((B31*D31*H31)/F32)</f>
        <v>93.274719614999995</v>
      </c>
      <c r="C34" s="202" t="s">
        <v>96</v>
      </c>
      <c r="D34" s="84"/>
      <c r="E34" s="84"/>
      <c r="F34" s="84"/>
      <c r="G34" s="84"/>
      <c r="H34" s="84"/>
      <c r="I34" s="84"/>
    </row>
    <row r="35" spans="1:11" ht="14.25" customHeight="1" x14ac:dyDescent="0.2">
      <c r="A35" s="84"/>
      <c r="B35" s="84"/>
      <c r="C35" s="194" t="s">
        <v>65</v>
      </c>
      <c r="D35" s="84"/>
      <c r="E35" s="84"/>
      <c r="F35" s="84"/>
      <c r="G35" s="84"/>
      <c r="H35" s="84"/>
      <c r="I35" s="84"/>
    </row>
    <row r="38" spans="1:11" ht="14.25" customHeight="1" x14ac:dyDescent="0.2">
      <c r="A38" s="84" t="s">
        <v>192</v>
      </c>
      <c r="B38" s="84"/>
      <c r="C38" s="84"/>
      <c r="D38" s="84"/>
      <c r="E38" s="84"/>
      <c r="F38" s="84"/>
      <c r="G38" s="84"/>
      <c r="H38" s="84"/>
      <c r="I38" s="84"/>
    </row>
    <row r="40" spans="1:11" ht="14.25" customHeight="1" x14ac:dyDescent="0.2">
      <c r="A40" s="199" t="s">
        <v>92</v>
      </c>
      <c r="B40" s="203">
        <v>4.0500000000000001E-2</v>
      </c>
      <c r="C40" s="200" t="s">
        <v>137</v>
      </c>
      <c r="D40" s="109">
        <f>D31</f>
        <v>41455430.939999998</v>
      </c>
      <c r="E40" s="200" t="s">
        <v>94</v>
      </c>
      <c r="F40" s="580" t="s">
        <v>96</v>
      </c>
      <c r="G40" s="580"/>
      <c r="H40" s="554">
        <v>0.15</v>
      </c>
      <c r="I40" s="201" t="s">
        <v>136</v>
      </c>
    </row>
    <row r="41" spans="1:11" ht="14.25" customHeight="1" x14ac:dyDescent="0.2">
      <c r="A41" s="84"/>
      <c r="B41" s="581" t="s">
        <v>136</v>
      </c>
      <c r="C41" s="581"/>
      <c r="D41" s="576" t="s">
        <v>65</v>
      </c>
      <c r="E41" s="576"/>
      <c r="F41" s="147">
        <v>2000</v>
      </c>
      <c r="G41" s="123" t="s">
        <v>137</v>
      </c>
      <c r="H41" s="581" t="s">
        <v>94</v>
      </c>
      <c r="I41" s="581"/>
    </row>
    <row r="43" spans="1:11" ht="14.25" customHeight="1" x14ac:dyDescent="0.2">
      <c r="A43" s="199" t="s">
        <v>92</v>
      </c>
      <c r="B43" s="196">
        <f>((B40*D40*H40)/F41)</f>
        <v>125.92087148025</v>
      </c>
      <c r="C43" s="202" t="s">
        <v>96</v>
      </c>
      <c r="D43" s="84"/>
      <c r="E43" s="84"/>
      <c r="F43" s="84"/>
      <c r="G43" s="84"/>
      <c r="H43" s="84"/>
      <c r="I43" s="84"/>
    </row>
    <row r="44" spans="1:11" ht="14.25" customHeight="1" x14ac:dyDescent="0.2">
      <c r="A44" s="84"/>
      <c r="B44" s="84"/>
      <c r="C44" s="194" t="s">
        <v>65</v>
      </c>
      <c r="D44" s="84"/>
      <c r="E44" s="84"/>
      <c r="F44" s="84"/>
      <c r="G44" s="84"/>
      <c r="H44" s="84"/>
      <c r="I44" s="84"/>
    </row>
    <row r="45" spans="1:11" ht="14.25" customHeight="1" x14ac:dyDescent="0.2">
      <c r="A45" s="84"/>
      <c r="B45" s="84"/>
      <c r="C45" s="194"/>
      <c r="D45" s="84"/>
      <c r="E45" s="84"/>
      <c r="F45" s="84"/>
      <c r="G45" s="84"/>
      <c r="H45" s="84"/>
      <c r="I45" s="84"/>
    </row>
    <row r="46" spans="1:11" ht="14.25" customHeight="1" x14ac:dyDescent="0.2">
      <c r="A46" s="84" t="s">
        <v>193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</row>
    <row r="47" spans="1:11" ht="14.25" customHeight="1" x14ac:dyDescent="0.25">
      <c r="I47" s="204" t="s">
        <v>194</v>
      </c>
    </row>
    <row r="48" spans="1:11" ht="14.25" customHeight="1" x14ac:dyDescent="0.2">
      <c r="A48" s="199" t="s">
        <v>92</v>
      </c>
      <c r="B48" s="205">
        <f>(157+5.7)*B18</f>
        <v>77.011333333333326</v>
      </c>
      <c r="C48" s="200" t="s">
        <v>137</v>
      </c>
      <c r="D48" s="109">
        <f>D40</f>
        <v>41455430.939999998</v>
      </c>
      <c r="E48" s="200" t="s">
        <v>94</v>
      </c>
      <c r="F48" s="580" t="s">
        <v>96</v>
      </c>
      <c r="G48" s="580"/>
    </row>
    <row r="49" spans="1:11" ht="14.25" customHeight="1" x14ac:dyDescent="0.2">
      <c r="A49" s="84"/>
      <c r="B49" s="206">
        <v>1000</v>
      </c>
      <c r="C49" s="207" t="s">
        <v>146</v>
      </c>
      <c r="D49" s="576" t="s">
        <v>65</v>
      </c>
      <c r="E49" s="576"/>
      <c r="F49" s="147">
        <v>2000</v>
      </c>
      <c r="G49" s="123" t="s">
        <v>137</v>
      </c>
    </row>
    <row r="51" spans="1:11" ht="14.25" customHeight="1" x14ac:dyDescent="0.2">
      <c r="A51" s="199" t="s">
        <v>92</v>
      </c>
      <c r="B51" s="196">
        <f>((B48/B49*D48)/F49)</f>
        <v>1596.2690052986597</v>
      </c>
      <c r="C51" s="202" t="s">
        <v>96</v>
      </c>
      <c r="D51" s="84"/>
      <c r="E51" s="84"/>
      <c r="F51" s="84"/>
      <c r="G51" s="84"/>
      <c r="H51" s="84"/>
      <c r="I51" s="84"/>
      <c r="J51" s="84"/>
      <c r="K51" s="84"/>
    </row>
    <row r="52" spans="1:11" ht="14.25" customHeight="1" x14ac:dyDescent="0.2">
      <c r="A52" s="84"/>
      <c r="B52" s="84"/>
      <c r="C52" s="194" t="s">
        <v>65</v>
      </c>
      <c r="D52" s="84"/>
      <c r="E52" s="84"/>
      <c r="F52" s="84"/>
      <c r="G52" s="84"/>
      <c r="H52" s="84"/>
      <c r="I52" s="84"/>
      <c r="J52" s="84"/>
      <c r="K52" s="84"/>
    </row>
    <row r="53" spans="1:11" ht="14.25" customHeight="1" x14ac:dyDescent="0.2">
      <c r="A53" s="84"/>
      <c r="B53" s="84"/>
      <c r="C53" s="194"/>
      <c r="D53" s="84"/>
      <c r="E53" s="84"/>
      <c r="F53" s="84"/>
      <c r="G53" s="84"/>
      <c r="H53" s="84"/>
      <c r="I53" s="84"/>
      <c r="J53" s="84"/>
      <c r="K53" s="84"/>
    </row>
    <row r="54" spans="1:11" ht="14.25" customHeight="1" x14ac:dyDescent="0.2">
      <c r="A54" s="84"/>
      <c r="B54" s="84"/>
      <c r="C54" s="194"/>
      <c r="D54" s="84"/>
      <c r="E54" s="84"/>
      <c r="F54" s="84"/>
      <c r="G54" s="84"/>
      <c r="H54" s="84"/>
      <c r="I54" s="84"/>
      <c r="J54" s="84"/>
      <c r="K54" s="84"/>
    </row>
    <row r="55" spans="1:11" ht="14.25" customHeight="1" x14ac:dyDescent="0.2">
      <c r="A55" s="84" t="s">
        <v>195</v>
      </c>
      <c r="B55" s="84"/>
      <c r="C55" s="84"/>
      <c r="D55" s="84"/>
      <c r="E55" s="84"/>
      <c r="F55" s="84"/>
      <c r="G55" s="84"/>
      <c r="H55" s="84"/>
    </row>
    <row r="57" spans="1:11" ht="14.25" customHeight="1" x14ac:dyDescent="0.2">
      <c r="A57" s="199" t="s">
        <v>92</v>
      </c>
      <c r="B57" s="208">
        <v>47</v>
      </c>
      <c r="C57" s="200" t="s">
        <v>137</v>
      </c>
      <c r="D57" s="109">
        <f>B16</f>
        <v>0</v>
      </c>
      <c r="E57" s="200" t="s">
        <v>94</v>
      </c>
      <c r="F57" s="580" t="s">
        <v>96</v>
      </c>
      <c r="G57" s="580"/>
      <c r="H57" s="209"/>
    </row>
    <row r="58" spans="1:11" ht="14.25" customHeight="1" x14ac:dyDescent="0.2">
      <c r="A58" s="84"/>
      <c r="B58" s="147">
        <v>1000</v>
      </c>
      <c r="C58" s="123" t="s">
        <v>94</v>
      </c>
      <c r="D58" s="576" t="s">
        <v>65</v>
      </c>
      <c r="E58" s="576"/>
      <c r="F58" s="147">
        <v>2000</v>
      </c>
      <c r="G58" s="123" t="s">
        <v>137</v>
      </c>
      <c r="H58" s="209"/>
    </row>
    <row r="60" spans="1:11" ht="14.25" customHeight="1" x14ac:dyDescent="0.2">
      <c r="A60" s="199" t="s">
        <v>92</v>
      </c>
      <c r="B60" s="196">
        <f>((B57/B58)*D57)/F58</f>
        <v>0</v>
      </c>
      <c r="C60" s="202" t="s">
        <v>96</v>
      </c>
      <c r="D60" s="84"/>
      <c r="E60" s="84"/>
      <c r="F60" s="84"/>
      <c r="G60" s="84"/>
      <c r="H60" s="84"/>
    </row>
    <row r="61" spans="1:11" ht="14.25" customHeight="1" x14ac:dyDescent="0.2">
      <c r="A61" s="84"/>
      <c r="B61" s="84"/>
      <c r="C61" s="194" t="s">
        <v>65</v>
      </c>
      <c r="D61" s="84"/>
      <c r="E61" s="84"/>
      <c r="F61" s="84"/>
      <c r="G61" s="84"/>
      <c r="H61" s="84"/>
    </row>
    <row r="63" spans="1:11" ht="14.25" customHeight="1" x14ac:dyDescent="0.2">
      <c r="A63" s="84" t="s">
        <v>196</v>
      </c>
      <c r="B63" s="84"/>
      <c r="C63" s="84"/>
      <c r="D63" s="84"/>
      <c r="E63" s="84"/>
      <c r="F63" s="84"/>
      <c r="G63" s="84"/>
      <c r="H63" s="84"/>
    </row>
    <row r="65" spans="1:8" ht="14.25" customHeight="1" x14ac:dyDescent="0.2">
      <c r="A65" s="199" t="s">
        <v>92</v>
      </c>
      <c r="B65" s="208">
        <v>32</v>
      </c>
      <c r="C65" s="200" t="s">
        <v>137</v>
      </c>
      <c r="D65" s="109">
        <f>B17</f>
        <v>41455430.939999998</v>
      </c>
      <c r="E65" s="200" t="s">
        <v>94</v>
      </c>
      <c r="F65" s="580" t="s">
        <v>96</v>
      </c>
      <c r="G65" s="580"/>
      <c r="H65" s="209"/>
    </row>
    <row r="66" spans="1:8" ht="14.25" customHeight="1" x14ac:dyDescent="0.2">
      <c r="A66" s="84"/>
      <c r="B66" s="147">
        <v>1000</v>
      </c>
      <c r="C66" s="123" t="s">
        <v>94</v>
      </c>
      <c r="D66" s="576" t="s">
        <v>65</v>
      </c>
      <c r="E66" s="576"/>
      <c r="F66" s="147">
        <v>2000</v>
      </c>
      <c r="G66" s="123" t="s">
        <v>137</v>
      </c>
      <c r="H66" s="209"/>
    </row>
    <row r="68" spans="1:8" ht="14.25" customHeight="1" x14ac:dyDescent="0.2">
      <c r="A68" s="199" t="s">
        <v>92</v>
      </c>
      <c r="B68" s="196">
        <f>((B65/B66)*D65)/F66</f>
        <v>663.28689503999999</v>
      </c>
      <c r="C68" s="202" t="s">
        <v>96</v>
      </c>
      <c r="D68" s="84"/>
      <c r="E68" s="84"/>
      <c r="F68" s="84"/>
      <c r="G68" s="84"/>
      <c r="H68" s="84"/>
    </row>
    <row r="69" spans="1:8" ht="14.25" customHeight="1" x14ac:dyDescent="0.2">
      <c r="A69" s="84"/>
      <c r="B69" s="84"/>
      <c r="C69" s="194" t="s">
        <v>65</v>
      </c>
      <c r="D69" s="84"/>
      <c r="E69" s="84"/>
      <c r="F69" s="84"/>
      <c r="G69" s="84"/>
      <c r="H69" s="84"/>
    </row>
    <row r="71" spans="1:8" ht="14.25" customHeight="1" x14ac:dyDescent="0.2">
      <c r="A71" s="84" t="s">
        <v>101</v>
      </c>
      <c r="B71" s="84"/>
      <c r="C71" s="84"/>
      <c r="D71" s="84"/>
      <c r="E71" s="84"/>
      <c r="F71" s="84"/>
      <c r="G71" s="84"/>
      <c r="H71" s="84"/>
    </row>
    <row r="73" spans="1:8" ht="14.25" customHeight="1" x14ac:dyDescent="0.2">
      <c r="A73" s="199" t="s">
        <v>92</v>
      </c>
      <c r="B73" s="554">
        <v>0.76</v>
      </c>
      <c r="C73" s="200" t="s">
        <v>137</v>
      </c>
      <c r="D73" s="109">
        <f>D48</f>
        <v>41455430.939999998</v>
      </c>
      <c r="E73" s="200" t="s">
        <v>94</v>
      </c>
      <c r="F73" s="580" t="s">
        <v>96</v>
      </c>
      <c r="G73" s="580"/>
      <c r="H73" s="209"/>
    </row>
    <row r="74" spans="1:8" ht="14.25" customHeight="1" x14ac:dyDescent="0.2">
      <c r="A74" s="84"/>
      <c r="B74" s="147">
        <v>1000</v>
      </c>
      <c r="C74" s="123" t="s">
        <v>94</v>
      </c>
      <c r="D74" s="576" t="s">
        <v>65</v>
      </c>
      <c r="E74" s="576"/>
      <c r="F74" s="147">
        <v>2000</v>
      </c>
      <c r="G74" s="123" t="s">
        <v>137</v>
      </c>
      <c r="H74" s="209"/>
    </row>
    <row r="76" spans="1:8" ht="14.25" customHeight="1" x14ac:dyDescent="0.2">
      <c r="A76" s="199" t="s">
        <v>92</v>
      </c>
      <c r="B76" s="196">
        <f>((B73/B74)*D73)/F74</f>
        <v>15.7530637572</v>
      </c>
      <c r="C76" s="202" t="s">
        <v>96</v>
      </c>
      <c r="D76" s="84"/>
      <c r="E76" s="84"/>
      <c r="F76" s="84"/>
      <c r="G76" s="84"/>
      <c r="H76" s="84"/>
    </row>
    <row r="77" spans="1:8" ht="14.25" customHeight="1" x14ac:dyDescent="0.2">
      <c r="A77" s="84"/>
      <c r="B77" s="84"/>
      <c r="C77" s="194" t="s">
        <v>65</v>
      </c>
      <c r="D77" s="84"/>
      <c r="E77" s="84"/>
      <c r="F77" s="84"/>
      <c r="G77" s="84"/>
      <c r="H77" s="84"/>
    </row>
    <row r="78" spans="1:8" ht="14.25" customHeight="1" x14ac:dyDescent="0.2">
      <c r="A78" s="84"/>
      <c r="B78" s="84"/>
      <c r="C78" s="194"/>
      <c r="D78" s="84"/>
      <c r="E78" s="84"/>
      <c r="F78" s="84"/>
      <c r="G78" s="84"/>
      <c r="H78" s="84"/>
    </row>
    <row r="80" spans="1:8" ht="14.25" customHeight="1" x14ac:dyDescent="0.2">
      <c r="A80" s="84" t="s">
        <v>102</v>
      </c>
      <c r="B80" s="84"/>
      <c r="C80" s="84"/>
      <c r="D80" s="84"/>
      <c r="E80" s="84"/>
      <c r="F80" s="84"/>
      <c r="G80" s="84"/>
      <c r="H80" s="84"/>
    </row>
    <row r="82" spans="1:8" ht="14.25" customHeight="1" x14ac:dyDescent="0.2">
      <c r="A82" s="199" t="s">
        <v>92</v>
      </c>
      <c r="B82" s="554">
        <v>5</v>
      </c>
      <c r="C82" s="200" t="s">
        <v>137</v>
      </c>
      <c r="D82" s="109">
        <f>D73</f>
        <v>41455430.939999998</v>
      </c>
      <c r="E82" s="200" t="s">
        <v>94</v>
      </c>
      <c r="F82" s="580" t="s">
        <v>96</v>
      </c>
      <c r="G82" s="580"/>
      <c r="H82" s="209"/>
    </row>
    <row r="83" spans="1:8" ht="14.25" customHeight="1" x14ac:dyDescent="0.2">
      <c r="A83" s="84"/>
      <c r="B83" s="147">
        <v>1000</v>
      </c>
      <c r="C83" s="123" t="s">
        <v>94</v>
      </c>
      <c r="D83" s="576" t="s">
        <v>65</v>
      </c>
      <c r="E83" s="576"/>
      <c r="F83" s="147">
        <v>2000</v>
      </c>
      <c r="G83" s="123" t="s">
        <v>137</v>
      </c>
      <c r="H83" s="209"/>
    </row>
    <row r="85" spans="1:8" ht="14.25" customHeight="1" x14ac:dyDescent="0.2">
      <c r="A85" s="199" t="s">
        <v>92</v>
      </c>
      <c r="B85" s="196">
        <f>((B82/B83)*D82)/F83</f>
        <v>103.63857734999999</v>
      </c>
      <c r="C85" s="202" t="s">
        <v>96</v>
      </c>
      <c r="D85" s="84"/>
      <c r="E85" s="84"/>
      <c r="F85" s="84"/>
      <c r="G85" s="84"/>
      <c r="H85" s="84"/>
    </row>
    <row r="86" spans="1:8" ht="14.25" customHeight="1" x14ac:dyDescent="0.2">
      <c r="A86" s="84"/>
      <c r="B86" s="84"/>
      <c r="C86" s="194" t="s">
        <v>65</v>
      </c>
      <c r="D86" s="84"/>
      <c r="E86" s="84"/>
      <c r="F86" s="84"/>
      <c r="G86" s="84"/>
      <c r="H86" s="84"/>
    </row>
    <row r="88" spans="1:8" ht="14.25" customHeight="1" x14ac:dyDescent="0.2">
      <c r="A88" s="84" t="s">
        <v>103</v>
      </c>
      <c r="B88" s="84"/>
      <c r="C88" s="84"/>
      <c r="D88" s="84"/>
      <c r="E88" s="84"/>
      <c r="F88" s="84"/>
      <c r="G88" s="84"/>
      <c r="H88" s="84"/>
    </row>
    <row r="90" spans="1:8" ht="14.25" customHeight="1" x14ac:dyDescent="0.2">
      <c r="A90" s="199" t="s">
        <v>92</v>
      </c>
      <c r="B90" s="554">
        <v>1.5100000000000001E-3</v>
      </c>
      <c r="C90" s="200" t="s">
        <v>137</v>
      </c>
      <c r="D90" s="109">
        <f>D82</f>
        <v>41455430.939999998</v>
      </c>
      <c r="E90" s="200" t="s">
        <v>94</v>
      </c>
      <c r="F90" s="580" t="s">
        <v>96</v>
      </c>
      <c r="G90" s="580"/>
      <c r="H90" s="209"/>
    </row>
    <row r="91" spans="1:8" ht="14.25" customHeight="1" x14ac:dyDescent="0.2">
      <c r="A91" s="84"/>
      <c r="B91" s="147">
        <v>1000</v>
      </c>
      <c r="C91" s="123" t="s">
        <v>94</v>
      </c>
      <c r="D91" s="576" t="s">
        <v>65</v>
      </c>
      <c r="E91" s="576"/>
      <c r="F91" s="147">
        <v>2000</v>
      </c>
      <c r="G91" s="123" t="s">
        <v>137</v>
      </c>
      <c r="H91" s="209"/>
    </row>
    <row r="93" spans="1:8" ht="14.25" customHeight="1" x14ac:dyDescent="0.2">
      <c r="A93" s="199" t="s">
        <v>92</v>
      </c>
      <c r="B93" s="196">
        <f>((B90/B91)*D90)/F91</f>
        <v>3.1298850359700002E-2</v>
      </c>
      <c r="C93" s="202" t="s">
        <v>96</v>
      </c>
    </row>
    <row r="94" spans="1:8" ht="14.25" customHeight="1" x14ac:dyDescent="0.2">
      <c r="A94" s="84"/>
      <c r="B94" s="84"/>
      <c r="C94" s="194" t="s">
        <v>65</v>
      </c>
    </row>
    <row r="97" spans="1:8" ht="14.25" customHeight="1" x14ac:dyDescent="0.2">
      <c r="A97" s="84" t="s">
        <v>104</v>
      </c>
      <c r="B97" s="84"/>
      <c r="C97" s="84"/>
      <c r="D97" s="84"/>
      <c r="E97" s="84"/>
      <c r="F97" s="84"/>
      <c r="G97" s="84"/>
      <c r="H97" s="84"/>
    </row>
    <row r="99" spans="1:8" ht="14.25" customHeight="1" x14ac:dyDescent="0.2">
      <c r="A99" s="199" t="s">
        <v>92</v>
      </c>
      <c r="B99" s="205">
        <f>R14</f>
        <v>24.891205852956581</v>
      </c>
      <c r="C99" s="200" t="s">
        <v>137</v>
      </c>
      <c r="D99" s="109">
        <f>D90</f>
        <v>41455430.939999998</v>
      </c>
      <c r="E99" s="200" t="s">
        <v>94</v>
      </c>
      <c r="F99" s="580" t="s">
        <v>96</v>
      </c>
      <c r="G99" s="580"/>
      <c r="H99" s="209"/>
    </row>
    <row r="100" spans="1:8" ht="14.25" customHeight="1" x14ac:dyDescent="0.2">
      <c r="A100" s="84"/>
      <c r="B100" s="147"/>
      <c r="C100" s="123" t="s">
        <v>94</v>
      </c>
      <c r="D100" s="576" t="s">
        <v>65</v>
      </c>
      <c r="E100" s="576"/>
      <c r="F100" s="147">
        <v>2000</v>
      </c>
      <c r="G100" s="123" t="s">
        <v>137</v>
      </c>
      <c r="H100" s="209"/>
    </row>
    <row r="102" spans="1:8" ht="14.25" customHeight="1" x14ac:dyDescent="0.2">
      <c r="A102" s="199" t="s">
        <v>92</v>
      </c>
      <c r="B102" s="196">
        <f>B99*D99/F100</f>
        <v>515937.83262528264</v>
      </c>
      <c r="C102" s="202" t="s">
        <v>96</v>
      </c>
    </row>
    <row r="103" spans="1:8" ht="14.25" customHeight="1" x14ac:dyDescent="0.2">
      <c r="A103" s="84"/>
      <c r="B103" s="84"/>
      <c r="C103" s="194" t="s">
        <v>65</v>
      </c>
    </row>
  </sheetData>
  <mergeCells count="27">
    <mergeCell ref="F99:G99"/>
    <mergeCell ref="D100:E100"/>
    <mergeCell ref="D74:E74"/>
    <mergeCell ref="F82:G82"/>
    <mergeCell ref="D83:E83"/>
    <mergeCell ref="F90:G90"/>
    <mergeCell ref="D91:E91"/>
    <mergeCell ref="F57:G57"/>
    <mergeCell ref="D58:E58"/>
    <mergeCell ref="F65:G65"/>
    <mergeCell ref="D66:E66"/>
    <mergeCell ref="F73:G73"/>
    <mergeCell ref="B41:C41"/>
    <mergeCell ref="D41:E41"/>
    <mergeCell ref="H41:I41"/>
    <mergeCell ref="F48:G48"/>
    <mergeCell ref="D49:E49"/>
    <mergeCell ref="F31:G31"/>
    <mergeCell ref="B32:C32"/>
    <mergeCell ref="D32:E32"/>
    <mergeCell ref="H32:I32"/>
    <mergeCell ref="F40:G40"/>
    <mergeCell ref="A1:H1"/>
    <mergeCell ref="F23:G23"/>
    <mergeCell ref="B24:C24"/>
    <mergeCell ref="D24:E24"/>
    <mergeCell ref="H24:I2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82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1" width="18.28515625" customWidth="1"/>
    <col min="2" max="2" width="17.28515625" customWidth="1"/>
    <col min="3" max="3" width="13.42578125" customWidth="1"/>
    <col min="4" max="4" width="12" customWidth="1"/>
    <col min="5" max="5" width="11" customWidth="1"/>
    <col min="6" max="6" width="13.5703125" customWidth="1"/>
    <col min="7" max="7" width="4" customWidth="1"/>
    <col min="8" max="8" width="9.42578125" customWidth="1"/>
    <col min="9" max="9" width="7.28515625" customWidth="1"/>
    <col min="10" max="10" width="5.5703125" customWidth="1"/>
    <col min="11" max="11" width="3.42578125" customWidth="1"/>
    <col min="12" max="12" width="4.5703125" customWidth="1"/>
    <col min="13" max="13" width="12.7109375" customWidth="1"/>
    <col min="14" max="14" width="8.5703125" customWidth="1"/>
    <col min="15" max="15" width="9.140625" customWidth="1"/>
    <col min="16" max="16" width="8.28515625" customWidth="1"/>
    <col min="17" max="17" width="1.7109375" customWidth="1"/>
    <col min="18" max="18" width="8" customWidth="1"/>
    <col min="19" max="19" width="8.28515625" customWidth="1"/>
    <col min="20" max="20" width="5.5703125" customWidth="1"/>
    <col min="21" max="21" width="3.42578125" customWidth="1"/>
  </cols>
  <sheetData>
    <row r="1" spans="1:24" ht="14.25" customHeight="1" x14ac:dyDescent="0.2">
      <c r="A1" s="574" t="s">
        <v>197</v>
      </c>
      <c r="B1" s="574"/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</row>
    <row r="2" spans="1:24" ht="14.25" customHeight="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24" ht="53.25" customHeight="1" x14ac:dyDescent="0.2">
      <c r="A3" s="104" t="s">
        <v>106</v>
      </c>
      <c r="B3" s="105" t="s">
        <v>107</v>
      </c>
      <c r="C3" s="105" t="s">
        <v>198</v>
      </c>
      <c r="D3" s="106" t="s">
        <v>109</v>
      </c>
      <c r="E3" s="106" t="s">
        <v>110</v>
      </c>
      <c r="M3" s="103"/>
      <c r="N3" s="103"/>
      <c r="O3" s="103"/>
      <c r="P3" s="103"/>
    </row>
    <row r="4" spans="1:24" ht="14.25" customHeight="1" x14ac:dyDescent="0.2">
      <c r="A4" s="107" t="s">
        <v>20</v>
      </c>
      <c r="B4" s="210">
        <v>9.2099392372881395E-2</v>
      </c>
      <c r="C4" s="210">
        <v>0.108058493511864</v>
      </c>
      <c r="D4" s="109">
        <f>B23</f>
        <v>516.60241432684256</v>
      </c>
      <c r="E4" s="110">
        <f>F23</f>
        <v>117.94575669562614</v>
      </c>
      <c r="J4" s="111"/>
      <c r="K4" s="112"/>
      <c r="L4" s="112"/>
      <c r="M4" s="103"/>
      <c r="N4" s="103"/>
      <c r="O4" s="103"/>
      <c r="P4" s="103"/>
    </row>
    <row r="5" spans="1:24" ht="14.25" customHeight="1" x14ac:dyDescent="0.2">
      <c r="A5" s="113" t="s">
        <v>21</v>
      </c>
      <c r="B5" s="210">
        <v>2.2429676537803301E-2</v>
      </c>
      <c r="C5" s="210">
        <v>9.4426363060370194E-3</v>
      </c>
      <c r="D5" s="116">
        <f>B29</f>
        <v>99.412028463708182</v>
      </c>
      <c r="E5" s="117">
        <f>F29</f>
        <v>22.696810151531547</v>
      </c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24" ht="14.25" customHeight="1" x14ac:dyDescent="0.2">
      <c r="A6" s="113" t="s">
        <v>22</v>
      </c>
      <c r="B6" s="114">
        <v>2.0999999999999999E-3</v>
      </c>
      <c r="C6" s="114">
        <v>8.3000000000000001E-3</v>
      </c>
      <c r="D6" s="116">
        <f>B35</f>
        <v>20.91031838543655</v>
      </c>
      <c r="E6" s="117">
        <f>F35</f>
        <v>4.7740452934786646</v>
      </c>
      <c r="F6" s="575" t="s">
        <v>111</v>
      </c>
      <c r="G6" s="575"/>
      <c r="H6" s="575"/>
      <c r="I6" s="575"/>
      <c r="J6" s="575"/>
      <c r="K6" s="575"/>
      <c r="L6" s="575"/>
      <c r="M6" s="575"/>
      <c r="N6" s="575"/>
      <c r="O6" s="118"/>
      <c r="P6" s="118"/>
    </row>
    <row r="7" spans="1:24" ht="14.25" customHeight="1" x14ac:dyDescent="0.2">
      <c r="A7" s="113" t="s">
        <v>17</v>
      </c>
      <c r="B7" s="114">
        <v>6.6E-3</v>
      </c>
      <c r="C7" s="114">
        <v>2.8400000000000002E-2</v>
      </c>
      <c r="D7" s="116">
        <f>B41</f>
        <v>69.339017790294307</v>
      </c>
      <c r="E7" s="117">
        <f>F41</f>
        <v>15.830825979519247</v>
      </c>
      <c r="F7" s="119" t="s">
        <v>112</v>
      </c>
      <c r="G7" s="120" t="s">
        <v>199</v>
      </c>
      <c r="I7" s="120"/>
      <c r="J7" s="120"/>
      <c r="K7" s="120"/>
      <c r="L7" s="120"/>
      <c r="M7" s="120"/>
      <c r="N7" s="120"/>
      <c r="O7" s="120"/>
      <c r="P7" s="120"/>
    </row>
    <row r="8" spans="1:24" ht="14.25" customHeight="1" x14ac:dyDescent="0.2">
      <c r="A8" s="113" t="s">
        <v>18</v>
      </c>
      <c r="B8" s="114">
        <v>6.6E-3</v>
      </c>
      <c r="C8" s="114">
        <v>3.5700000000000003E-2</v>
      </c>
      <c r="D8" s="116">
        <f>B47</f>
        <v>80.760417567018308</v>
      </c>
      <c r="E8" s="121">
        <f>F47</f>
        <v>18.438451499319246</v>
      </c>
      <c r="F8" s="122"/>
      <c r="G8" s="120" t="s">
        <v>200</v>
      </c>
      <c r="H8" s="120"/>
      <c r="I8" s="120"/>
      <c r="J8" s="120"/>
      <c r="K8" s="120"/>
      <c r="L8" s="120"/>
      <c r="M8" s="120"/>
      <c r="N8" s="120"/>
      <c r="O8" s="120"/>
    </row>
    <row r="9" spans="1:24" ht="14.25" customHeight="1" x14ac:dyDescent="0.2">
      <c r="A9" s="113" t="s">
        <v>40</v>
      </c>
      <c r="B9" s="114">
        <v>6.6E-3</v>
      </c>
      <c r="C9" s="114">
        <v>3.5700000000000003E-2</v>
      </c>
      <c r="D9" s="116">
        <f>B52</f>
        <v>80.760417567018308</v>
      </c>
      <c r="E9" s="117">
        <f>F52</f>
        <v>18.438451499319246</v>
      </c>
      <c r="F9" s="123"/>
      <c r="G9" s="120" t="s">
        <v>115</v>
      </c>
      <c r="H9" s="120"/>
      <c r="I9" s="120"/>
      <c r="J9" s="120"/>
      <c r="K9" s="120"/>
      <c r="L9" s="120"/>
      <c r="M9" s="120"/>
      <c r="N9" s="120"/>
      <c r="O9" s="120"/>
    </row>
    <row r="10" spans="1:24" ht="14.25" customHeight="1" x14ac:dyDescent="0.2">
      <c r="A10" s="113" t="s">
        <v>19</v>
      </c>
      <c r="B10" s="114">
        <v>2.8E-3</v>
      </c>
      <c r="C10" s="115" t="s">
        <v>201</v>
      </c>
      <c r="D10" s="116">
        <f>B58</f>
        <v>11.74700630853</v>
      </c>
      <c r="E10" s="117">
        <f>F58</f>
        <v>2.6819649106232877</v>
      </c>
      <c r="F10" s="123"/>
      <c r="G10" s="123"/>
      <c r="H10" s="122"/>
      <c r="I10" s="122"/>
      <c r="J10" s="122"/>
      <c r="K10" s="122"/>
      <c r="L10" s="122"/>
      <c r="M10" s="122"/>
      <c r="N10" s="122"/>
      <c r="O10" s="122"/>
      <c r="P10" s="122"/>
    </row>
    <row r="11" spans="1:24" ht="14.25" customHeight="1" x14ac:dyDescent="0.2">
      <c r="A11" s="113" t="s">
        <v>42</v>
      </c>
      <c r="B11" s="114">
        <v>4.2999999999999999E-4</v>
      </c>
      <c r="C11" s="114">
        <v>7.7000000000000002E-3</v>
      </c>
      <c r="D11" s="116">
        <f>B64</f>
        <v>13.669833528922666</v>
      </c>
      <c r="E11" s="117">
        <f>F64</f>
        <v>3.1209665591147639</v>
      </c>
      <c r="F11" s="125" t="s">
        <v>117</v>
      </c>
      <c r="G11" s="120" t="s">
        <v>118</v>
      </c>
      <c r="H11" s="120"/>
      <c r="I11" s="120"/>
      <c r="J11" s="120"/>
      <c r="K11" s="120"/>
      <c r="L11" s="120"/>
      <c r="N11" s="122"/>
      <c r="O11" s="122"/>
      <c r="P11" s="122"/>
      <c r="V11" t="s">
        <v>24</v>
      </c>
      <c r="W11">
        <f>(73.96+0.003*25+0.0006*298)*2.2046*0.138</f>
        <v>22.578420600240001</v>
      </c>
      <c r="X11" t="s">
        <v>119</v>
      </c>
    </row>
    <row r="12" spans="1:24" ht="14.25" customHeight="1" x14ac:dyDescent="0.2">
      <c r="A12" s="113" t="s">
        <v>23</v>
      </c>
      <c r="B12" s="114">
        <v>0</v>
      </c>
      <c r="C12" s="114">
        <v>9.0000000000000002E-6</v>
      </c>
      <c r="D12" s="116">
        <f>B70</f>
        <v>1.4081177806920003E-2</v>
      </c>
      <c r="E12" s="117">
        <f>F70</f>
        <v>3.2148807778356169E-3</v>
      </c>
      <c r="F12" s="103"/>
      <c r="G12" s="120"/>
      <c r="H12" s="103"/>
      <c r="I12" s="103"/>
      <c r="J12" s="103"/>
      <c r="K12" s="103"/>
      <c r="L12" s="103"/>
      <c r="M12" s="103"/>
      <c r="N12" s="103"/>
      <c r="O12" s="103"/>
      <c r="P12" s="103"/>
      <c r="W12">
        <f>(475409.8+224+267)*2204.62/8707340462.38</f>
        <v>0.12049378638965323</v>
      </c>
      <c r="X12" t="s">
        <v>120</v>
      </c>
    </row>
    <row r="13" spans="1:24" ht="14.25" customHeight="1" x14ac:dyDescent="0.2">
      <c r="A13" s="113" t="s">
        <v>24</v>
      </c>
      <c r="B13" s="114" t="s">
        <v>202</v>
      </c>
      <c r="C13" s="114" t="s">
        <v>122</v>
      </c>
      <c r="D13" s="127">
        <f>B76</f>
        <v>701750.46156976314</v>
      </c>
      <c r="E13" s="128">
        <f>F76</f>
        <v>160217.00035839342</v>
      </c>
      <c r="F13" s="103"/>
      <c r="G13" s="120"/>
      <c r="H13" s="103"/>
      <c r="I13" s="103"/>
      <c r="J13" s="103"/>
      <c r="K13" s="103"/>
      <c r="L13" s="103"/>
      <c r="M13" s="103"/>
      <c r="N13" s="103"/>
      <c r="O13" s="103"/>
      <c r="P13" s="103"/>
    </row>
    <row r="14" spans="1:24" ht="14.25" customHeight="1" x14ac:dyDescent="0.2">
      <c r="A14" s="129" t="s">
        <v>43</v>
      </c>
      <c r="B14" s="130">
        <v>0</v>
      </c>
      <c r="C14" s="131">
        <v>0</v>
      </c>
      <c r="D14" s="132">
        <v>0</v>
      </c>
      <c r="E14" s="133">
        <v>0</v>
      </c>
      <c r="F14" s="103"/>
      <c r="G14" s="120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24" ht="14.25" customHeight="1" x14ac:dyDescent="0.2">
      <c r="A15" s="134"/>
      <c r="B15" s="134"/>
      <c r="C15" s="134"/>
      <c r="D15" s="134"/>
      <c r="E15" s="111"/>
      <c r="H15" s="103"/>
      <c r="I15" s="103"/>
      <c r="J15" s="103"/>
      <c r="K15" s="103"/>
      <c r="L15" s="103"/>
      <c r="M15" s="103"/>
      <c r="N15" s="103"/>
      <c r="O15" s="103"/>
      <c r="P15" s="103"/>
    </row>
    <row r="16" spans="1:24" ht="14.25" customHeight="1" x14ac:dyDescent="0.2">
      <c r="A16" s="135" t="s">
        <v>203</v>
      </c>
      <c r="B16" s="136">
        <f>SUM('San Juan'!D35)</f>
        <v>22675004.520000003</v>
      </c>
      <c r="C16" s="136"/>
      <c r="D16" s="137" t="s">
        <v>89</v>
      </c>
      <c r="H16" s="103"/>
      <c r="I16" s="103"/>
      <c r="J16" s="103"/>
      <c r="K16" s="103"/>
      <c r="L16" s="103"/>
      <c r="M16" s="103"/>
      <c r="N16" s="103"/>
      <c r="O16" s="103"/>
      <c r="P16" s="103"/>
    </row>
    <row r="17" spans="1:21" ht="14.25" customHeight="1" x14ac:dyDescent="0.2">
      <c r="A17" s="138" t="s">
        <v>124</v>
      </c>
      <c r="B17" s="139">
        <f>SUM('San Juan'!N35)</f>
        <v>7399013349.0499983</v>
      </c>
      <c r="C17" s="139"/>
      <c r="D17" s="112" t="s">
        <v>125</v>
      </c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</row>
    <row r="18" spans="1:21" ht="14.25" customHeight="1" x14ac:dyDescent="0.25">
      <c r="A18" s="86" t="s">
        <v>204</v>
      </c>
      <c r="B18" s="211">
        <f>SUM('San Juan'!F35)</f>
        <v>7.474999999999999E-4</v>
      </c>
      <c r="D18" t="s">
        <v>127</v>
      </c>
      <c r="M18" s="103"/>
      <c r="N18" s="103"/>
      <c r="O18" s="103"/>
      <c r="P18" s="103"/>
    </row>
    <row r="19" spans="1:21" ht="14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</row>
    <row r="20" spans="1:21" ht="14.25" customHeight="1" x14ac:dyDescent="0.2">
      <c r="A20" s="141" t="s">
        <v>128</v>
      </c>
      <c r="B20" s="142">
        <f>B16</f>
        <v>22675004.520000003</v>
      </c>
      <c r="C20" s="143"/>
      <c r="D20" s="144" t="s">
        <v>129</v>
      </c>
      <c r="E20" s="145">
        <v>0.13800000000000001</v>
      </c>
      <c r="F20" s="146" t="s">
        <v>130</v>
      </c>
      <c r="G20" s="576" t="s">
        <v>131</v>
      </c>
      <c r="H20" s="212">
        <f>C4</f>
        <v>0.108058493511864</v>
      </c>
      <c r="I20" s="149" t="s">
        <v>132</v>
      </c>
      <c r="J20" s="148">
        <v>1</v>
      </c>
      <c r="K20" s="148" t="s">
        <v>96</v>
      </c>
      <c r="L20" s="150" t="s">
        <v>133</v>
      </c>
      <c r="M20" s="151">
        <f>B17</f>
        <v>7399013349.0499983</v>
      </c>
      <c r="N20" s="146" t="s">
        <v>134</v>
      </c>
      <c r="O20" s="142">
        <v>1020</v>
      </c>
      <c r="P20" s="144" t="s">
        <v>135</v>
      </c>
      <c r="Q20" s="576" t="s">
        <v>131</v>
      </c>
      <c r="R20" s="212">
        <f>B4</f>
        <v>9.2099392372881395E-2</v>
      </c>
      <c r="S20" s="149" t="s">
        <v>132</v>
      </c>
      <c r="T20" s="148">
        <v>1</v>
      </c>
      <c r="U20" s="148" t="s">
        <v>96</v>
      </c>
    </row>
    <row r="21" spans="1:21" ht="14.25" customHeight="1" x14ac:dyDescent="0.2">
      <c r="A21" s="123"/>
      <c r="B21" s="147"/>
      <c r="C21" s="123"/>
      <c r="D21" s="152" t="s">
        <v>65</v>
      </c>
      <c r="E21" s="123"/>
      <c r="F21" s="562" t="s">
        <v>94</v>
      </c>
      <c r="G21" s="576"/>
      <c r="H21" s="213"/>
      <c r="I21" s="153" t="s">
        <v>136</v>
      </c>
      <c r="J21" s="154">
        <v>2000</v>
      </c>
      <c r="K21" s="103" t="s">
        <v>137</v>
      </c>
      <c r="L21" s="123"/>
      <c r="M21" s="123"/>
      <c r="N21" s="152" t="s">
        <v>65</v>
      </c>
      <c r="O21" s="155">
        <v>1000000</v>
      </c>
      <c r="P21" s="152" t="s">
        <v>74</v>
      </c>
      <c r="Q21" s="576"/>
      <c r="R21" s="103"/>
      <c r="S21" s="153" t="s">
        <v>136</v>
      </c>
      <c r="T21" s="154">
        <v>2000</v>
      </c>
      <c r="U21" s="103" t="s">
        <v>137</v>
      </c>
    </row>
    <row r="22" spans="1:21" ht="14.25" customHeight="1" x14ac:dyDescent="0.2">
      <c r="A22" s="103"/>
      <c r="B22" s="103"/>
      <c r="C22" s="103"/>
      <c r="D22" s="103"/>
      <c r="E22" s="103"/>
      <c r="F22" s="103"/>
      <c r="G22" s="103"/>
      <c r="H22" s="213"/>
      <c r="I22" s="103"/>
      <c r="J22" s="103"/>
      <c r="K22" s="103"/>
      <c r="L22" s="103"/>
      <c r="M22" s="103"/>
      <c r="N22" s="103"/>
      <c r="O22" s="103"/>
      <c r="P22" s="103"/>
    </row>
    <row r="23" spans="1:21" ht="14.25" customHeight="1" x14ac:dyDescent="0.25">
      <c r="A23" s="141"/>
      <c r="B23" s="156">
        <f>(B20*E20*H20+M20*O20*R20/1000000)/2000</f>
        <v>516.60241432684256</v>
      </c>
      <c r="C23" s="156"/>
      <c r="D23" s="103" t="s">
        <v>138</v>
      </c>
      <c r="E23" s="141" t="s">
        <v>92</v>
      </c>
      <c r="F23" s="111">
        <f>B23*(2000/8760)</f>
        <v>117.94575669562614</v>
      </c>
      <c r="G23" s="103" t="s">
        <v>139</v>
      </c>
      <c r="H23" s="100"/>
      <c r="I23" s="103"/>
      <c r="J23" s="103"/>
      <c r="K23" s="103"/>
      <c r="L23" s="103"/>
      <c r="M23" s="103"/>
      <c r="N23" s="103"/>
      <c r="O23" s="103"/>
      <c r="P23" s="103"/>
    </row>
    <row r="24" spans="1:21" ht="14.25" customHeight="1" x14ac:dyDescent="0.2">
      <c r="A24" s="103"/>
      <c r="B24" s="103"/>
      <c r="C24" s="103"/>
      <c r="D24" s="103"/>
      <c r="E24" s="103"/>
      <c r="F24" s="103"/>
      <c r="G24" s="103"/>
      <c r="H24" s="213"/>
      <c r="I24" s="158"/>
      <c r="J24" s="158"/>
      <c r="K24" s="103"/>
      <c r="L24" s="103"/>
      <c r="M24" s="103"/>
      <c r="N24" s="103"/>
      <c r="O24" s="103"/>
      <c r="P24" s="103"/>
    </row>
    <row r="25" spans="1:21" ht="14.25" customHeight="1" x14ac:dyDescent="0.2">
      <c r="A25" s="103"/>
      <c r="B25" s="103"/>
      <c r="C25" s="103"/>
      <c r="D25" s="103"/>
      <c r="E25" s="103"/>
      <c r="F25" s="103"/>
      <c r="G25" s="103"/>
      <c r="H25" s="213"/>
      <c r="I25" s="103"/>
      <c r="J25" s="103"/>
      <c r="K25" s="103"/>
      <c r="L25" s="103"/>
      <c r="M25" s="103"/>
      <c r="N25" s="103"/>
      <c r="O25" s="103"/>
      <c r="P25" s="103"/>
    </row>
    <row r="26" spans="1:21" ht="14.25" customHeight="1" x14ac:dyDescent="0.2">
      <c r="A26" s="141" t="s">
        <v>140</v>
      </c>
      <c r="B26" s="142">
        <f>B16</f>
        <v>22675004.520000003</v>
      </c>
      <c r="C26" s="143"/>
      <c r="D26" s="144" t="s">
        <v>129</v>
      </c>
      <c r="E26" s="145">
        <v>0.13800000000000001</v>
      </c>
      <c r="F26" s="146" t="s">
        <v>130</v>
      </c>
      <c r="G26" s="576" t="s">
        <v>131</v>
      </c>
      <c r="H26" s="212">
        <f>C5</f>
        <v>9.4426363060370194E-3</v>
      </c>
      <c r="I26" s="149" t="s">
        <v>132</v>
      </c>
      <c r="J26" s="148">
        <v>1</v>
      </c>
      <c r="K26" s="148" t="s">
        <v>96</v>
      </c>
      <c r="L26" s="150" t="s">
        <v>133</v>
      </c>
      <c r="M26" s="151">
        <f>B17</f>
        <v>7399013349.0499983</v>
      </c>
      <c r="N26" s="144" t="s">
        <v>134</v>
      </c>
      <c r="O26" s="143">
        <v>1020</v>
      </c>
      <c r="P26" s="144" t="s">
        <v>135</v>
      </c>
      <c r="Q26" s="147" t="s">
        <v>131</v>
      </c>
      <c r="R26" s="212">
        <f>B5</f>
        <v>2.2429676537803301E-2</v>
      </c>
      <c r="S26" s="149" t="s">
        <v>132</v>
      </c>
      <c r="T26" s="159">
        <v>1</v>
      </c>
      <c r="U26" s="148" t="s">
        <v>96</v>
      </c>
    </row>
    <row r="27" spans="1:21" ht="14.25" customHeight="1" x14ac:dyDescent="0.2">
      <c r="A27" s="123"/>
      <c r="B27" s="147"/>
      <c r="C27" s="123"/>
      <c r="D27" s="152" t="s">
        <v>65</v>
      </c>
      <c r="E27" s="123"/>
      <c r="F27" s="160" t="s">
        <v>94</v>
      </c>
      <c r="G27" s="576"/>
      <c r="H27" s="213"/>
      <c r="I27" s="153" t="s">
        <v>136</v>
      </c>
      <c r="J27" s="154">
        <v>2000</v>
      </c>
      <c r="K27" s="103" t="s">
        <v>137</v>
      </c>
      <c r="L27" s="123"/>
      <c r="M27" s="123"/>
      <c r="N27" s="152" t="s">
        <v>65</v>
      </c>
      <c r="O27" s="161">
        <v>1000000</v>
      </c>
      <c r="P27" s="152" t="s">
        <v>74</v>
      </c>
      <c r="Q27" s="147"/>
      <c r="R27" s="103"/>
      <c r="S27" s="153" t="s">
        <v>136</v>
      </c>
      <c r="T27" s="162">
        <v>2000</v>
      </c>
      <c r="U27" s="103" t="s">
        <v>137</v>
      </c>
    </row>
    <row r="28" spans="1:21" ht="14.25" customHeight="1" x14ac:dyDescent="0.2">
      <c r="A28" s="103"/>
      <c r="B28" s="103"/>
      <c r="C28" s="103"/>
      <c r="D28" s="103"/>
      <c r="E28" s="103"/>
      <c r="F28" s="103"/>
      <c r="G28" s="103"/>
      <c r="H28" s="213"/>
      <c r="I28" s="103"/>
      <c r="J28" s="103"/>
      <c r="K28" s="103"/>
      <c r="L28" s="103"/>
      <c r="M28" s="103"/>
      <c r="N28" s="103"/>
      <c r="O28" s="103"/>
      <c r="P28" s="103"/>
    </row>
    <row r="29" spans="1:21" ht="14.25" customHeight="1" x14ac:dyDescent="0.25">
      <c r="A29" s="141"/>
      <c r="B29" s="156">
        <f>(B26*E26*H26+M26*O26*R26/1000000)/2000</f>
        <v>99.412028463708182</v>
      </c>
      <c r="C29" s="156"/>
      <c r="D29" s="103" t="s">
        <v>138</v>
      </c>
      <c r="E29" s="141" t="s">
        <v>92</v>
      </c>
      <c r="F29" s="111">
        <f>B29*(2000/8760)</f>
        <v>22.696810151531547</v>
      </c>
      <c r="G29" s="103" t="s">
        <v>139</v>
      </c>
      <c r="H29" s="100"/>
      <c r="I29" s="103"/>
      <c r="J29" s="103"/>
      <c r="K29" s="103"/>
      <c r="L29" s="103"/>
      <c r="M29" s="103"/>
      <c r="N29" s="103"/>
      <c r="O29" s="103"/>
      <c r="P29" s="103"/>
    </row>
    <row r="30" spans="1:21" ht="14.25" customHeight="1" x14ac:dyDescent="0.2">
      <c r="A30" s="103"/>
      <c r="B30" s="103"/>
      <c r="C30" s="103"/>
      <c r="D30" s="103"/>
      <c r="E30" s="103"/>
      <c r="F30" s="103"/>
      <c r="G30" s="103"/>
      <c r="H30" s="213"/>
      <c r="I30" s="103"/>
      <c r="J30" s="103"/>
      <c r="K30" s="103"/>
      <c r="L30" s="103"/>
      <c r="M30" s="103"/>
      <c r="N30" s="103"/>
      <c r="O30" s="103"/>
      <c r="P30" s="103"/>
    </row>
    <row r="31" spans="1:21" ht="14.25" customHeight="1" x14ac:dyDescent="0.2">
      <c r="A31" s="103"/>
      <c r="B31" s="103"/>
      <c r="C31" s="103"/>
      <c r="D31" s="103"/>
      <c r="E31" s="103"/>
      <c r="F31" s="103"/>
      <c r="G31" s="103"/>
      <c r="H31" s="213"/>
      <c r="I31" s="103"/>
      <c r="J31" s="103"/>
      <c r="K31" s="103"/>
      <c r="L31" s="103"/>
      <c r="M31" s="103"/>
      <c r="N31" s="103"/>
      <c r="O31" s="103"/>
      <c r="P31" s="103"/>
    </row>
    <row r="32" spans="1:21" ht="14.25" customHeight="1" x14ac:dyDescent="0.2">
      <c r="A32" s="141" t="s">
        <v>141</v>
      </c>
      <c r="B32" s="142">
        <f>B16</f>
        <v>22675004.520000003</v>
      </c>
      <c r="C32" s="143"/>
      <c r="D32" s="144" t="s">
        <v>129</v>
      </c>
      <c r="E32" s="145">
        <v>0.13800000000000001</v>
      </c>
      <c r="F32" s="146" t="s">
        <v>130</v>
      </c>
      <c r="G32" s="576" t="s">
        <v>131</v>
      </c>
      <c r="H32" s="212">
        <f>C6</f>
        <v>8.3000000000000001E-3</v>
      </c>
      <c r="I32" s="149" t="s">
        <v>132</v>
      </c>
      <c r="J32" s="148">
        <v>1</v>
      </c>
      <c r="K32" s="148" t="s">
        <v>96</v>
      </c>
      <c r="L32" s="150" t="s">
        <v>133</v>
      </c>
      <c r="M32" s="151">
        <f>B17</f>
        <v>7399013349.0499983</v>
      </c>
      <c r="N32" s="144" t="s">
        <v>134</v>
      </c>
      <c r="O32" s="143">
        <v>1020</v>
      </c>
      <c r="P32" s="144" t="s">
        <v>135</v>
      </c>
      <c r="Q32" s="147" t="s">
        <v>131</v>
      </c>
      <c r="R32" s="148">
        <f>B6</f>
        <v>2.0999999999999999E-3</v>
      </c>
      <c r="S32" s="149" t="s">
        <v>132</v>
      </c>
      <c r="T32" s="148">
        <v>1</v>
      </c>
      <c r="U32" s="148" t="s">
        <v>96</v>
      </c>
    </row>
    <row r="33" spans="1:21" ht="14.25" customHeight="1" x14ac:dyDescent="0.2">
      <c r="A33" s="123"/>
      <c r="B33" s="147"/>
      <c r="C33" s="123"/>
      <c r="D33" s="152" t="s">
        <v>65</v>
      </c>
      <c r="E33" s="123"/>
      <c r="F33" s="562" t="s">
        <v>94</v>
      </c>
      <c r="G33" s="576"/>
      <c r="H33" s="213"/>
      <c r="I33" s="153" t="s">
        <v>136</v>
      </c>
      <c r="J33" s="154">
        <v>2000</v>
      </c>
      <c r="K33" s="103" t="s">
        <v>137</v>
      </c>
      <c r="L33" s="123"/>
      <c r="M33" s="123"/>
      <c r="N33" s="152" t="s">
        <v>65</v>
      </c>
      <c r="O33" s="161">
        <v>1000000</v>
      </c>
      <c r="P33" s="152" t="s">
        <v>74</v>
      </c>
      <c r="Q33" s="147"/>
      <c r="R33" s="103"/>
      <c r="S33" s="153" t="s">
        <v>136</v>
      </c>
      <c r="T33" s="154">
        <v>2000</v>
      </c>
      <c r="U33" s="103" t="s">
        <v>137</v>
      </c>
    </row>
    <row r="34" spans="1:21" ht="14.25" customHeight="1" x14ac:dyDescent="0.2">
      <c r="A34" s="103"/>
      <c r="B34" s="103"/>
      <c r="C34" s="103"/>
      <c r="D34" s="103"/>
      <c r="E34" s="103"/>
      <c r="F34" s="103"/>
      <c r="G34" s="103"/>
      <c r="H34" s="213"/>
      <c r="I34" s="103"/>
      <c r="J34" s="103"/>
      <c r="K34" s="103"/>
      <c r="L34" s="103"/>
      <c r="M34" s="103"/>
      <c r="N34" s="103"/>
      <c r="O34" s="103"/>
      <c r="P34" s="103"/>
    </row>
    <row r="35" spans="1:21" ht="14.25" customHeight="1" x14ac:dyDescent="0.25">
      <c r="A35" s="141"/>
      <c r="B35" s="156">
        <f>(B32*E32*H32+M32*O32*R32/1000000)/2000</f>
        <v>20.91031838543655</v>
      </c>
      <c r="C35" s="156"/>
      <c r="D35" s="103" t="s">
        <v>138</v>
      </c>
      <c r="E35" s="141" t="s">
        <v>92</v>
      </c>
      <c r="F35" s="111">
        <f>B35*(2000/8760)</f>
        <v>4.7740452934786646</v>
      </c>
      <c r="G35" s="103" t="s">
        <v>139</v>
      </c>
      <c r="H35" s="100"/>
      <c r="I35" s="103"/>
      <c r="J35" s="103"/>
      <c r="K35" s="103"/>
      <c r="L35" s="103"/>
      <c r="M35" s="103"/>
      <c r="N35" s="103"/>
      <c r="O35" s="103"/>
      <c r="P35" s="103"/>
    </row>
    <row r="36" spans="1:21" ht="14.25" customHeight="1" x14ac:dyDescent="0.2">
      <c r="A36" s="103"/>
      <c r="B36" s="103"/>
      <c r="C36" s="103"/>
      <c r="D36" s="103"/>
      <c r="E36" s="103"/>
      <c r="F36" s="103"/>
      <c r="G36" s="103"/>
      <c r="H36" s="213"/>
      <c r="I36" s="103"/>
      <c r="J36" s="103"/>
      <c r="K36" s="103"/>
      <c r="L36" s="103"/>
      <c r="M36" s="103"/>
      <c r="N36" s="103"/>
      <c r="O36" s="103"/>
      <c r="P36" s="103"/>
    </row>
    <row r="37" spans="1:21" ht="14.25" customHeight="1" x14ac:dyDescent="0.2">
      <c r="A37" s="103"/>
      <c r="B37" s="103"/>
      <c r="C37" s="103"/>
      <c r="D37" s="103"/>
      <c r="E37" s="103"/>
      <c r="F37" s="103"/>
      <c r="G37" s="103"/>
      <c r="H37" s="213"/>
      <c r="I37" s="103"/>
      <c r="J37" s="103"/>
      <c r="K37" s="103"/>
      <c r="L37" s="103"/>
      <c r="M37" s="103"/>
      <c r="N37" s="103"/>
      <c r="O37" s="103"/>
      <c r="P37" s="103"/>
    </row>
    <row r="38" spans="1:21" ht="14.25" customHeight="1" x14ac:dyDescent="0.2">
      <c r="A38" s="141" t="s">
        <v>142</v>
      </c>
      <c r="B38" s="142">
        <f>B16</f>
        <v>22675004.520000003</v>
      </c>
      <c r="C38" s="143"/>
      <c r="D38" s="144" t="s">
        <v>129</v>
      </c>
      <c r="E38" s="145">
        <v>0.13800000000000001</v>
      </c>
      <c r="F38" s="146" t="s">
        <v>130</v>
      </c>
      <c r="G38" s="576" t="s">
        <v>131</v>
      </c>
      <c r="H38" s="212">
        <f>C7</f>
        <v>2.8400000000000002E-2</v>
      </c>
      <c r="I38" s="149" t="s">
        <v>132</v>
      </c>
      <c r="J38" s="148">
        <v>1</v>
      </c>
      <c r="K38" s="148" t="s">
        <v>96</v>
      </c>
      <c r="L38" s="150" t="s">
        <v>133</v>
      </c>
      <c r="M38" s="151">
        <f>B17</f>
        <v>7399013349.0499983</v>
      </c>
      <c r="N38" s="144" t="s">
        <v>134</v>
      </c>
      <c r="O38" s="143">
        <v>1020</v>
      </c>
      <c r="P38" s="144" t="s">
        <v>135</v>
      </c>
      <c r="Q38" s="147" t="s">
        <v>131</v>
      </c>
      <c r="R38" s="148">
        <f>B7</f>
        <v>6.6E-3</v>
      </c>
      <c r="S38" s="149" t="s">
        <v>132</v>
      </c>
      <c r="T38" s="148">
        <v>1</v>
      </c>
      <c r="U38" s="148" t="s">
        <v>96</v>
      </c>
    </row>
    <row r="39" spans="1:21" ht="14.25" customHeight="1" x14ac:dyDescent="0.2">
      <c r="A39" s="123"/>
      <c r="B39" s="147"/>
      <c r="C39" s="123"/>
      <c r="D39" s="152" t="s">
        <v>65</v>
      </c>
      <c r="E39" s="123"/>
      <c r="F39" s="562" t="s">
        <v>94</v>
      </c>
      <c r="G39" s="576"/>
      <c r="H39" s="213"/>
      <c r="I39" s="153" t="s">
        <v>136</v>
      </c>
      <c r="J39" s="154">
        <v>2000</v>
      </c>
      <c r="K39" s="103" t="s">
        <v>137</v>
      </c>
      <c r="L39" s="123"/>
      <c r="M39" s="123"/>
      <c r="N39" s="152" t="s">
        <v>65</v>
      </c>
      <c r="O39" s="161">
        <v>1000000</v>
      </c>
      <c r="P39" s="152" t="s">
        <v>74</v>
      </c>
      <c r="Q39" s="147"/>
      <c r="R39" s="103"/>
      <c r="S39" s="153" t="s">
        <v>136</v>
      </c>
      <c r="T39" s="154">
        <v>2000</v>
      </c>
      <c r="U39" s="103" t="s">
        <v>137</v>
      </c>
    </row>
    <row r="40" spans="1:21" ht="14.25" customHeight="1" x14ac:dyDescent="0.25">
      <c r="A40" s="103"/>
      <c r="B40" s="103"/>
      <c r="C40" s="103"/>
      <c r="D40" s="103"/>
      <c r="E40" s="103"/>
      <c r="F40" s="103"/>
      <c r="H40" s="100"/>
      <c r="L40" s="103"/>
      <c r="M40" s="103"/>
      <c r="N40" s="103"/>
      <c r="O40" s="103"/>
      <c r="P40" s="103"/>
      <c r="Q40" s="103"/>
      <c r="R40" s="103"/>
      <c r="S40" s="103"/>
      <c r="T40" s="103"/>
      <c r="U40" s="103"/>
    </row>
    <row r="41" spans="1:21" ht="14.25" customHeight="1" x14ac:dyDescent="0.25">
      <c r="A41" s="141"/>
      <c r="B41" s="156">
        <f>(B38*E38*H38+M38*O38*R38/1000000)/2000</f>
        <v>69.339017790294307</v>
      </c>
      <c r="C41" s="156"/>
      <c r="D41" s="103" t="s">
        <v>138</v>
      </c>
      <c r="E41" s="141" t="s">
        <v>92</v>
      </c>
      <c r="F41" s="111">
        <f>B41*(2000/8760)</f>
        <v>15.830825979519247</v>
      </c>
      <c r="G41" s="103" t="s">
        <v>139</v>
      </c>
      <c r="H41" s="100"/>
      <c r="L41" s="103" t="s">
        <v>139</v>
      </c>
      <c r="N41" s="103"/>
      <c r="O41" s="103"/>
      <c r="P41" s="103"/>
      <c r="Q41" s="103"/>
      <c r="R41" s="103"/>
      <c r="S41" s="103"/>
      <c r="T41" s="103"/>
      <c r="U41" s="103"/>
    </row>
    <row r="42" spans="1:21" ht="14.25" customHeight="1" x14ac:dyDescent="0.25">
      <c r="A42" s="141"/>
      <c r="B42" s="156"/>
      <c r="C42" s="156"/>
      <c r="D42" s="103"/>
      <c r="E42" s="141"/>
      <c r="F42" s="111"/>
      <c r="H42" s="100"/>
      <c r="L42" s="103"/>
      <c r="N42" s="103"/>
      <c r="O42" s="103"/>
      <c r="P42" s="103"/>
      <c r="Q42" s="103"/>
      <c r="R42" s="103"/>
      <c r="S42" s="103"/>
      <c r="T42" s="103"/>
      <c r="U42" s="103"/>
    </row>
    <row r="43" spans="1:21" ht="14.25" customHeight="1" x14ac:dyDescent="0.25">
      <c r="A43" s="141"/>
      <c r="B43" s="156"/>
      <c r="C43" s="156"/>
      <c r="D43" s="103"/>
      <c r="E43" s="141"/>
      <c r="F43" s="111"/>
      <c r="H43" s="100"/>
      <c r="L43" s="103"/>
      <c r="N43" s="103"/>
      <c r="O43" s="103"/>
      <c r="P43" s="103"/>
      <c r="Q43" s="103"/>
      <c r="R43" s="103"/>
      <c r="S43" s="103"/>
      <c r="T43" s="103"/>
      <c r="U43" s="103"/>
    </row>
    <row r="44" spans="1:21" ht="14.25" customHeight="1" x14ac:dyDescent="0.2">
      <c r="A44" s="141" t="s">
        <v>143</v>
      </c>
      <c r="B44" s="142">
        <f>B16</f>
        <v>22675004.520000003</v>
      </c>
      <c r="C44" s="143"/>
      <c r="D44" s="144" t="s">
        <v>129</v>
      </c>
      <c r="E44" s="145">
        <v>0.13800000000000001</v>
      </c>
      <c r="F44" s="146" t="s">
        <v>130</v>
      </c>
      <c r="G44" s="576" t="s">
        <v>131</v>
      </c>
      <c r="H44" s="212">
        <f>C8</f>
        <v>3.5700000000000003E-2</v>
      </c>
      <c r="I44" s="149" t="s">
        <v>132</v>
      </c>
      <c r="J44" s="148">
        <v>1</v>
      </c>
      <c r="K44" s="148" t="s">
        <v>96</v>
      </c>
      <c r="L44" s="150" t="s">
        <v>133</v>
      </c>
      <c r="M44" s="151">
        <f>B17</f>
        <v>7399013349.0499983</v>
      </c>
      <c r="N44" s="144" t="s">
        <v>134</v>
      </c>
      <c r="O44" s="143">
        <v>1020</v>
      </c>
      <c r="P44" s="144" t="s">
        <v>135</v>
      </c>
      <c r="Q44" s="147" t="s">
        <v>131</v>
      </c>
      <c r="R44" s="148">
        <f>B8</f>
        <v>6.6E-3</v>
      </c>
      <c r="S44" s="149" t="s">
        <v>132</v>
      </c>
      <c r="T44" s="148">
        <v>1</v>
      </c>
      <c r="U44" s="148" t="s">
        <v>96</v>
      </c>
    </row>
    <row r="45" spans="1:21" ht="14.25" customHeight="1" x14ac:dyDescent="0.2">
      <c r="A45" s="123"/>
      <c r="B45" s="147"/>
      <c r="C45" s="123"/>
      <c r="D45" s="152" t="s">
        <v>65</v>
      </c>
      <c r="E45" s="123"/>
      <c r="F45" s="562" t="s">
        <v>94</v>
      </c>
      <c r="G45" s="576"/>
      <c r="H45" s="213"/>
      <c r="I45" s="153" t="s">
        <v>136</v>
      </c>
      <c r="J45" s="154">
        <v>2000</v>
      </c>
      <c r="K45" s="103" t="s">
        <v>137</v>
      </c>
      <c r="L45" s="123"/>
      <c r="M45" s="123"/>
      <c r="N45" s="152" t="s">
        <v>65</v>
      </c>
      <c r="O45" s="161">
        <v>1000000</v>
      </c>
      <c r="P45" s="152" t="s">
        <v>74</v>
      </c>
      <c r="Q45" s="147"/>
      <c r="R45" s="103"/>
      <c r="S45" s="153" t="s">
        <v>136</v>
      </c>
      <c r="T45" s="154">
        <v>2000</v>
      </c>
      <c r="U45" s="103" t="s">
        <v>137</v>
      </c>
    </row>
    <row r="46" spans="1:21" ht="14.25" customHeight="1" x14ac:dyDescent="0.25">
      <c r="A46" s="103"/>
      <c r="B46" s="103"/>
      <c r="C46" s="103"/>
      <c r="D46" s="103"/>
      <c r="E46" s="103"/>
      <c r="F46" s="103"/>
      <c r="H46" s="100"/>
      <c r="L46" s="103"/>
      <c r="M46" s="103"/>
      <c r="N46" s="103"/>
      <c r="O46" s="103"/>
      <c r="P46" s="103"/>
      <c r="Q46" s="103"/>
      <c r="R46" s="103"/>
      <c r="S46" s="103"/>
      <c r="T46" s="103"/>
      <c r="U46" s="103"/>
    </row>
    <row r="47" spans="1:21" ht="14.25" customHeight="1" x14ac:dyDescent="0.25">
      <c r="A47" s="141"/>
      <c r="B47" s="156">
        <f>(B44*E44*H44+M44*O44*R44/1000000)/2000</f>
        <v>80.760417567018308</v>
      </c>
      <c r="C47" s="156"/>
      <c r="D47" s="103" t="s">
        <v>138</v>
      </c>
      <c r="E47" s="141" t="s">
        <v>92</v>
      </c>
      <c r="F47" s="111">
        <f>B47*(2000/8760)</f>
        <v>18.438451499319246</v>
      </c>
      <c r="G47" s="103" t="s">
        <v>139</v>
      </c>
      <c r="H47" s="100"/>
      <c r="L47" s="103" t="s">
        <v>139</v>
      </c>
      <c r="N47" s="103"/>
      <c r="O47" s="103"/>
      <c r="P47" s="103"/>
      <c r="Q47" s="103"/>
      <c r="R47" s="103"/>
      <c r="S47" s="103"/>
      <c r="T47" s="103"/>
      <c r="U47" s="103"/>
    </row>
    <row r="48" spans="1:21" ht="14.25" customHeight="1" x14ac:dyDescent="0.25">
      <c r="A48" s="103"/>
      <c r="B48" s="103"/>
      <c r="C48" s="103"/>
      <c r="D48" s="103"/>
      <c r="E48" s="103"/>
      <c r="F48" s="103"/>
      <c r="H48" s="100"/>
      <c r="L48" s="103"/>
      <c r="M48" s="103"/>
      <c r="N48" s="103"/>
      <c r="O48" s="103"/>
      <c r="P48" s="103"/>
      <c r="Q48" s="103"/>
      <c r="R48" s="103"/>
      <c r="S48" s="103"/>
      <c r="T48" s="103"/>
      <c r="U48" s="103"/>
    </row>
    <row r="49" spans="1:21" ht="14.25" customHeight="1" x14ac:dyDescent="0.2">
      <c r="A49" s="141" t="s">
        <v>144</v>
      </c>
      <c r="B49" s="142">
        <f>B16</f>
        <v>22675004.520000003</v>
      </c>
      <c r="C49" s="143"/>
      <c r="D49" s="144" t="s">
        <v>129</v>
      </c>
      <c r="E49" s="145">
        <v>0.13800000000000001</v>
      </c>
      <c r="F49" s="146" t="s">
        <v>130</v>
      </c>
      <c r="G49" s="576" t="s">
        <v>131</v>
      </c>
      <c r="H49" s="212">
        <f>C9</f>
        <v>3.5700000000000003E-2</v>
      </c>
      <c r="I49" s="149" t="s">
        <v>132</v>
      </c>
      <c r="J49" s="148">
        <v>1</v>
      </c>
      <c r="K49" s="148" t="s">
        <v>96</v>
      </c>
      <c r="L49" s="150" t="s">
        <v>133</v>
      </c>
      <c r="M49" s="151">
        <f>B17</f>
        <v>7399013349.0499983</v>
      </c>
      <c r="N49" s="144" t="s">
        <v>134</v>
      </c>
      <c r="O49" s="143">
        <v>1020</v>
      </c>
      <c r="P49" s="144" t="s">
        <v>135</v>
      </c>
      <c r="Q49" s="147" t="s">
        <v>131</v>
      </c>
      <c r="R49" s="148">
        <f>B9</f>
        <v>6.6E-3</v>
      </c>
      <c r="S49" s="149" t="s">
        <v>132</v>
      </c>
      <c r="T49" s="148">
        <v>1</v>
      </c>
      <c r="U49" s="148" t="s">
        <v>96</v>
      </c>
    </row>
    <row r="50" spans="1:21" ht="14.25" customHeight="1" x14ac:dyDescent="0.2">
      <c r="A50" s="123"/>
      <c r="B50" s="147"/>
      <c r="C50" s="123"/>
      <c r="D50" s="152" t="s">
        <v>65</v>
      </c>
      <c r="E50" s="123"/>
      <c r="F50" s="562" t="s">
        <v>94</v>
      </c>
      <c r="G50" s="576"/>
      <c r="H50" s="213"/>
      <c r="I50" s="153" t="s">
        <v>136</v>
      </c>
      <c r="J50" s="154">
        <v>2000</v>
      </c>
      <c r="K50" s="103" t="s">
        <v>137</v>
      </c>
      <c r="L50" s="123"/>
      <c r="M50" s="123"/>
      <c r="N50" s="152" t="s">
        <v>65</v>
      </c>
      <c r="O50" s="161">
        <v>1000000</v>
      </c>
      <c r="P50" s="152" t="s">
        <v>74</v>
      </c>
      <c r="Q50" s="147"/>
      <c r="R50" s="103"/>
      <c r="S50" s="153" t="s">
        <v>136</v>
      </c>
      <c r="T50" s="154">
        <v>2000</v>
      </c>
      <c r="U50" s="103" t="s">
        <v>137</v>
      </c>
    </row>
    <row r="51" spans="1:21" ht="14.25" customHeight="1" x14ac:dyDescent="0.25">
      <c r="A51" s="103"/>
      <c r="B51" s="103"/>
      <c r="C51" s="103"/>
      <c r="D51" s="103"/>
      <c r="E51" s="103"/>
      <c r="F51" s="103"/>
      <c r="H51" s="100"/>
      <c r="L51" s="103"/>
      <c r="M51" s="103"/>
      <c r="N51" s="103"/>
      <c r="O51" s="103"/>
      <c r="P51" s="103"/>
      <c r="Q51" s="103"/>
      <c r="R51" s="103"/>
      <c r="S51" s="103"/>
      <c r="T51" s="103"/>
      <c r="U51" s="103"/>
    </row>
    <row r="52" spans="1:21" ht="14.25" customHeight="1" x14ac:dyDescent="0.25">
      <c r="A52" s="141"/>
      <c r="B52" s="156">
        <f>(B49*E49*H49+M49*O49*R49/1000000)/2000</f>
        <v>80.760417567018308</v>
      </c>
      <c r="C52" s="156"/>
      <c r="D52" s="103" t="s">
        <v>138</v>
      </c>
      <c r="E52" s="141" t="s">
        <v>92</v>
      </c>
      <c r="F52" s="111">
        <f>B52*(2000/8760)</f>
        <v>18.438451499319246</v>
      </c>
      <c r="G52" s="103" t="s">
        <v>139</v>
      </c>
      <c r="H52" s="100"/>
      <c r="L52" s="103" t="s">
        <v>139</v>
      </c>
      <c r="N52" s="103"/>
      <c r="O52" s="103"/>
      <c r="P52" s="103"/>
      <c r="Q52" s="103"/>
      <c r="R52" s="103"/>
      <c r="S52" s="103"/>
      <c r="T52" s="103"/>
      <c r="U52" s="103"/>
    </row>
    <row r="53" spans="1:21" ht="14.25" customHeight="1" x14ac:dyDescent="0.25">
      <c r="A53" s="103"/>
      <c r="B53" s="103"/>
      <c r="C53" s="103"/>
      <c r="D53" s="103"/>
      <c r="E53" s="103"/>
      <c r="F53" s="103"/>
      <c r="H53" s="100"/>
      <c r="L53" s="103"/>
      <c r="M53" s="103"/>
      <c r="N53" s="103"/>
      <c r="O53" s="103"/>
      <c r="P53" s="103"/>
      <c r="Q53" s="103"/>
      <c r="R53" s="103"/>
      <c r="S53" s="103"/>
      <c r="T53" s="103"/>
      <c r="U53" s="103"/>
    </row>
    <row r="54" spans="1:21" ht="14.25" customHeight="1" x14ac:dyDescent="0.25">
      <c r="A54" s="103"/>
      <c r="B54" s="103"/>
      <c r="C54" s="103"/>
      <c r="D54" s="103"/>
      <c r="E54" s="103"/>
      <c r="F54" s="103"/>
      <c r="H54" s="100"/>
      <c r="L54" s="103"/>
      <c r="M54" s="103"/>
      <c r="N54" s="103"/>
      <c r="O54" s="103"/>
      <c r="P54" s="103"/>
      <c r="Q54" s="103"/>
      <c r="R54" s="103"/>
      <c r="S54" s="103"/>
      <c r="T54" s="103"/>
      <c r="U54" s="103"/>
    </row>
    <row r="55" spans="1:21" ht="14.25" customHeight="1" x14ac:dyDescent="0.2">
      <c r="A55" s="141" t="s">
        <v>145</v>
      </c>
      <c r="B55" s="142">
        <f>B16</f>
        <v>22675004.520000003</v>
      </c>
      <c r="C55" s="143"/>
      <c r="D55" s="144" t="s">
        <v>129</v>
      </c>
      <c r="E55" s="145">
        <v>0.13800000000000001</v>
      </c>
      <c r="F55" s="146" t="s">
        <v>130</v>
      </c>
      <c r="G55" s="576" t="s">
        <v>131</v>
      </c>
      <c r="H55" s="212">
        <f>1.01*B18</f>
        <v>7.5497499999999996E-4</v>
      </c>
      <c r="I55" s="149" t="s">
        <v>132</v>
      </c>
      <c r="J55" s="148">
        <v>1</v>
      </c>
      <c r="K55" s="148" t="s">
        <v>96</v>
      </c>
      <c r="L55" s="150" t="s">
        <v>133</v>
      </c>
      <c r="M55" s="151">
        <f>B17</f>
        <v>7399013349.0499983</v>
      </c>
      <c r="N55" s="144" t="s">
        <v>134</v>
      </c>
      <c r="O55" s="143">
        <v>1020</v>
      </c>
      <c r="P55" s="144" t="s">
        <v>135</v>
      </c>
      <c r="Q55" s="147" t="s">
        <v>131</v>
      </c>
      <c r="R55" s="148">
        <f>B10</f>
        <v>2.8E-3</v>
      </c>
      <c r="S55" s="149" t="s">
        <v>132</v>
      </c>
      <c r="T55" s="148">
        <v>1</v>
      </c>
      <c r="U55" s="148" t="s">
        <v>96</v>
      </c>
    </row>
    <row r="56" spans="1:21" ht="14.25" customHeight="1" x14ac:dyDescent="0.2">
      <c r="A56" s="123"/>
      <c r="B56" s="147"/>
      <c r="C56" s="123"/>
      <c r="D56" s="152" t="s">
        <v>65</v>
      </c>
      <c r="E56" s="123"/>
      <c r="F56" s="562" t="s">
        <v>94</v>
      </c>
      <c r="G56" s="576"/>
      <c r="H56" s="213"/>
      <c r="I56" s="153" t="s">
        <v>136</v>
      </c>
      <c r="J56" s="154">
        <v>2000</v>
      </c>
      <c r="K56" s="103" t="s">
        <v>137</v>
      </c>
      <c r="L56" s="123"/>
      <c r="M56" s="123"/>
      <c r="N56" s="152" t="s">
        <v>65</v>
      </c>
      <c r="O56" s="161">
        <v>1000000</v>
      </c>
      <c r="P56" s="152" t="s">
        <v>74</v>
      </c>
      <c r="Q56" s="147"/>
      <c r="R56" s="103"/>
      <c r="S56" s="153" t="s">
        <v>136</v>
      </c>
      <c r="T56" s="154">
        <v>2000</v>
      </c>
      <c r="U56" s="103" t="s">
        <v>137</v>
      </c>
    </row>
    <row r="57" spans="1:21" ht="14.25" customHeight="1" x14ac:dyDescent="0.25">
      <c r="A57" s="103"/>
      <c r="B57" s="103"/>
      <c r="C57" s="103"/>
      <c r="D57" s="103"/>
      <c r="E57" s="103"/>
      <c r="F57" s="103"/>
      <c r="H57" s="100"/>
      <c r="L57" s="103"/>
      <c r="M57" s="103"/>
      <c r="N57" s="103"/>
      <c r="O57" s="103"/>
      <c r="P57" s="103"/>
      <c r="Q57" s="103"/>
      <c r="R57" s="103"/>
      <c r="S57" s="103"/>
      <c r="T57" s="103"/>
      <c r="U57" s="103"/>
    </row>
    <row r="58" spans="1:21" ht="14.25" customHeight="1" x14ac:dyDescent="0.25">
      <c r="A58" s="141"/>
      <c r="B58" s="156">
        <f>(B55*E55*H55+M55*O55*R55/1000000)/2000</f>
        <v>11.74700630853</v>
      </c>
      <c r="C58" s="156"/>
      <c r="D58" s="103" t="s">
        <v>138</v>
      </c>
      <c r="E58" s="141" t="s">
        <v>92</v>
      </c>
      <c r="F58" s="111">
        <f>B58*(2000/8760)</f>
        <v>2.6819649106232877</v>
      </c>
      <c r="G58" s="103" t="s">
        <v>139</v>
      </c>
      <c r="H58" s="100"/>
      <c r="L58" s="103" t="s">
        <v>139</v>
      </c>
      <c r="N58" s="103"/>
      <c r="O58" s="103"/>
      <c r="P58" s="103"/>
      <c r="Q58" s="103"/>
      <c r="R58" s="103"/>
      <c r="S58" s="103"/>
      <c r="T58" s="103"/>
      <c r="U58" s="103"/>
    </row>
    <row r="59" spans="1:21" ht="14.25" customHeight="1" x14ac:dyDescent="0.25">
      <c r="A59" s="103"/>
      <c r="B59" s="103"/>
      <c r="C59" s="103"/>
      <c r="D59" s="103"/>
      <c r="E59" s="103"/>
      <c r="F59" s="103"/>
      <c r="H59" s="100"/>
      <c r="L59" s="103"/>
      <c r="M59" s="103"/>
      <c r="N59" s="103"/>
      <c r="O59" s="103"/>
      <c r="P59" s="103"/>
      <c r="Q59" s="103"/>
      <c r="R59" s="103"/>
      <c r="S59" s="103"/>
      <c r="T59" s="103"/>
      <c r="U59" s="103"/>
    </row>
    <row r="60" spans="1:21" ht="14.25" customHeight="1" x14ac:dyDescent="0.25">
      <c r="A60" s="103"/>
      <c r="B60" s="103"/>
      <c r="C60" s="103"/>
      <c r="D60" s="103"/>
      <c r="E60" s="103"/>
      <c r="F60" s="103"/>
      <c r="H60" s="100"/>
      <c r="L60" s="103"/>
      <c r="M60" s="103"/>
      <c r="N60" s="103"/>
      <c r="O60" s="103"/>
      <c r="P60" s="103"/>
      <c r="Q60" s="103"/>
      <c r="R60" s="103"/>
      <c r="S60" s="103"/>
      <c r="T60" s="103"/>
      <c r="U60" s="103"/>
    </row>
    <row r="61" spans="1:21" ht="14.25" customHeight="1" x14ac:dyDescent="0.2">
      <c r="A61" s="141" t="s">
        <v>147</v>
      </c>
      <c r="B61" s="142">
        <f>B16</f>
        <v>22675004.520000003</v>
      </c>
      <c r="C61" s="143"/>
      <c r="D61" s="144" t="s">
        <v>129</v>
      </c>
      <c r="E61" s="145">
        <v>0.13800000000000001</v>
      </c>
      <c r="F61" s="146" t="s">
        <v>130</v>
      </c>
      <c r="G61" s="576" t="s">
        <v>131</v>
      </c>
      <c r="H61" s="212">
        <f>C11</f>
        <v>7.7000000000000002E-3</v>
      </c>
      <c r="I61" s="149" t="s">
        <v>132</v>
      </c>
      <c r="J61" s="148">
        <v>1</v>
      </c>
      <c r="K61" s="148" t="s">
        <v>96</v>
      </c>
      <c r="L61" s="150" t="s">
        <v>133</v>
      </c>
      <c r="M61" s="151">
        <f>B17</f>
        <v>7399013349.0499983</v>
      </c>
      <c r="N61" s="144" t="s">
        <v>134</v>
      </c>
      <c r="O61" s="143">
        <v>1020</v>
      </c>
      <c r="P61" s="144" t="s">
        <v>135</v>
      </c>
      <c r="Q61" s="147" t="s">
        <v>131</v>
      </c>
      <c r="R61" s="148">
        <f>B11</f>
        <v>4.2999999999999999E-4</v>
      </c>
      <c r="S61" s="149" t="s">
        <v>132</v>
      </c>
      <c r="T61" s="148">
        <v>1</v>
      </c>
      <c r="U61" s="148" t="s">
        <v>96</v>
      </c>
    </row>
    <row r="62" spans="1:21" ht="14.25" customHeight="1" x14ac:dyDescent="0.2">
      <c r="A62" s="123"/>
      <c r="B62" s="147"/>
      <c r="C62" s="123"/>
      <c r="D62" s="152" t="s">
        <v>65</v>
      </c>
      <c r="E62" s="123"/>
      <c r="F62" s="562" t="s">
        <v>94</v>
      </c>
      <c r="G62" s="576"/>
      <c r="H62" s="213"/>
      <c r="I62" s="153" t="s">
        <v>136</v>
      </c>
      <c r="J62" s="154">
        <v>2000</v>
      </c>
      <c r="K62" s="103" t="s">
        <v>137</v>
      </c>
      <c r="L62" s="123"/>
      <c r="M62" s="123"/>
      <c r="N62" s="152" t="s">
        <v>65</v>
      </c>
      <c r="O62" s="161">
        <v>1000000</v>
      </c>
      <c r="P62" s="152" t="s">
        <v>74</v>
      </c>
      <c r="Q62" s="147"/>
      <c r="R62" s="103"/>
      <c r="S62" s="153" t="s">
        <v>136</v>
      </c>
      <c r="T62" s="154">
        <v>2000</v>
      </c>
      <c r="U62" s="103" t="s">
        <v>137</v>
      </c>
    </row>
    <row r="63" spans="1:21" ht="14.25" customHeight="1" x14ac:dyDescent="0.2">
      <c r="A63" s="103"/>
      <c r="B63" s="103"/>
      <c r="C63" s="103"/>
      <c r="D63" s="103"/>
      <c r="E63" s="103"/>
      <c r="F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</row>
    <row r="64" spans="1:21" ht="14.25" customHeight="1" x14ac:dyDescent="0.2">
      <c r="A64" s="141"/>
      <c r="B64" s="156">
        <f>(B61*E61*H61+M61*O61*R61/1000000)/2000</f>
        <v>13.669833528922666</v>
      </c>
      <c r="C64" s="156"/>
      <c r="D64" s="103" t="s">
        <v>138</v>
      </c>
      <c r="E64" s="141" t="s">
        <v>92</v>
      </c>
      <c r="F64" s="111">
        <f>B64*(2000/8760)</f>
        <v>3.1209665591147639</v>
      </c>
      <c r="G64" s="103" t="s">
        <v>139</v>
      </c>
      <c r="L64" s="103" t="s">
        <v>139</v>
      </c>
      <c r="N64" s="103"/>
      <c r="O64" s="103"/>
      <c r="P64" s="103"/>
      <c r="Q64" s="103"/>
      <c r="R64" s="103"/>
      <c r="S64" s="103"/>
      <c r="T64" s="103"/>
      <c r="U64" s="103"/>
    </row>
    <row r="65" spans="1:21" ht="14.25" customHeight="1" x14ac:dyDescent="0.2">
      <c r="A65" s="103"/>
      <c r="B65" s="103"/>
      <c r="C65" s="103"/>
      <c r="D65" s="103"/>
      <c r="E65" s="103"/>
      <c r="F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</row>
    <row r="66" spans="1:21" ht="14.25" customHeight="1" x14ac:dyDescent="0.2">
      <c r="A66" s="103"/>
      <c r="B66" s="103"/>
      <c r="C66" s="103"/>
      <c r="D66" s="103"/>
      <c r="E66" s="103"/>
      <c r="F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</row>
    <row r="67" spans="1:21" ht="14.25" customHeight="1" x14ac:dyDescent="0.2">
      <c r="A67" s="141" t="s">
        <v>148</v>
      </c>
      <c r="B67" s="142">
        <f>B16</f>
        <v>22675004.520000003</v>
      </c>
      <c r="C67" s="143"/>
      <c r="D67" s="144" t="s">
        <v>129</v>
      </c>
      <c r="E67" s="145">
        <v>0.13800000000000001</v>
      </c>
      <c r="F67" s="146" t="s">
        <v>130</v>
      </c>
      <c r="G67" s="576" t="s">
        <v>131</v>
      </c>
      <c r="H67" s="163">
        <f>C12</f>
        <v>9.0000000000000002E-6</v>
      </c>
      <c r="I67" s="149" t="s">
        <v>132</v>
      </c>
      <c r="J67" s="148">
        <v>1</v>
      </c>
      <c r="K67" s="148" t="s">
        <v>96</v>
      </c>
      <c r="L67" s="150" t="s">
        <v>133</v>
      </c>
      <c r="M67" s="151">
        <f>B17</f>
        <v>7399013349.0499983</v>
      </c>
      <c r="N67" s="144" t="s">
        <v>134</v>
      </c>
      <c r="O67" s="143">
        <v>1020</v>
      </c>
      <c r="P67" s="144" t="s">
        <v>135</v>
      </c>
      <c r="Q67" s="147" t="s">
        <v>131</v>
      </c>
      <c r="R67" s="148">
        <f>B12</f>
        <v>0</v>
      </c>
      <c r="S67" s="149" t="s">
        <v>132</v>
      </c>
      <c r="T67" s="148">
        <v>1</v>
      </c>
      <c r="U67" s="148" t="s">
        <v>96</v>
      </c>
    </row>
    <row r="68" spans="1:21" ht="14.25" customHeight="1" x14ac:dyDescent="0.2">
      <c r="A68" s="123"/>
      <c r="B68" s="147"/>
      <c r="C68" s="123"/>
      <c r="D68" s="152" t="s">
        <v>65</v>
      </c>
      <c r="E68" s="123"/>
      <c r="F68" s="562" t="s">
        <v>94</v>
      </c>
      <c r="G68" s="576"/>
      <c r="H68" s="103"/>
      <c r="I68" s="153" t="s">
        <v>136</v>
      </c>
      <c r="J68" s="154">
        <v>2000</v>
      </c>
      <c r="K68" s="103" t="s">
        <v>137</v>
      </c>
      <c r="L68" s="123"/>
      <c r="M68" s="123"/>
      <c r="N68" s="152" t="s">
        <v>65</v>
      </c>
      <c r="O68" s="161">
        <v>1000000</v>
      </c>
      <c r="P68" s="152" t="s">
        <v>74</v>
      </c>
      <c r="Q68" s="147"/>
      <c r="R68" s="103"/>
      <c r="S68" s="153" t="s">
        <v>136</v>
      </c>
      <c r="T68" s="154">
        <v>2000</v>
      </c>
      <c r="U68" s="103" t="s">
        <v>137</v>
      </c>
    </row>
    <row r="69" spans="1:21" ht="14.25" customHeight="1" x14ac:dyDescent="0.2">
      <c r="A69" s="103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</row>
    <row r="70" spans="1:21" ht="14.25" customHeight="1" x14ac:dyDescent="0.2">
      <c r="A70" s="141"/>
      <c r="B70" s="156">
        <f>(B67*E67*H67+M67*O67*R67/1000000)/2000</f>
        <v>1.4081177806920003E-2</v>
      </c>
      <c r="C70" s="156"/>
      <c r="D70" s="103" t="s">
        <v>138</v>
      </c>
      <c r="E70" s="141" t="s">
        <v>92</v>
      </c>
      <c r="F70" s="111">
        <f>B70*(2000/8760)</f>
        <v>3.2148807778356169E-3</v>
      </c>
      <c r="G70" s="103" t="s">
        <v>139</v>
      </c>
      <c r="I70" s="103"/>
      <c r="J70" s="103"/>
      <c r="K70" s="103"/>
      <c r="L70" s="103"/>
      <c r="M70" s="103"/>
      <c r="N70" s="103"/>
      <c r="O70" s="103"/>
      <c r="P70" s="103"/>
    </row>
    <row r="73" spans="1:21" ht="14.25" customHeight="1" x14ac:dyDescent="0.2">
      <c r="A73" s="141" t="s">
        <v>149</v>
      </c>
      <c r="B73" s="142">
        <f>B16</f>
        <v>22675004.520000003</v>
      </c>
      <c r="C73" s="143"/>
      <c r="D73" s="144" t="s">
        <v>129</v>
      </c>
      <c r="E73" s="164">
        <f>W11</f>
        <v>22.578420600240001</v>
      </c>
      <c r="F73" s="146" t="s">
        <v>137</v>
      </c>
      <c r="G73" s="576" t="s">
        <v>131</v>
      </c>
      <c r="H73" s="148">
        <v>1</v>
      </c>
      <c r="I73" s="148" t="s">
        <v>96</v>
      </c>
      <c r="J73" s="150" t="s">
        <v>133</v>
      </c>
      <c r="M73" s="151">
        <f>B17</f>
        <v>7399013349.0499983</v>
      </c>
      <c r="N73" s="144" t="s">
        <v>134</v>
      </c>
      <c r="O73" s="165">
        <f>W12</f>
        <v>0.12049378638965323</v>
      </c>
      <c r="P73" s="144" t="s">
        <v>137</v>
      </c>
      <c r="Q73" s="147" t="s">
        <v>131</v>
      </c>
      <c r="R73" s="148">
        <v>1</v>
      </c>
      <c r="S73" s="148" t="s">
        <v>96</v>
      </c>
    </row>
    <row r="74" spans="1:21" ht="14.25" customHeight="1" x14ac:dyDescent="0.2">
      <c r="A74" s="123"/>
      <c r="B74" s="147"/>
      <c r="C74" s="123"/>
      <c r="D74" s="152" t="s">
        <v>65</v>
      </c>
      <c r="E74" s="123"/>
      <c r="F74" s="562" t="s">
        <v>94</v>
      </c>
      <c r="G74" s="576"/>
      <c r="H74" s="154">
        <v>2000</v>
      </c>
      <c r="I74" s="103" t="s">
        <v>137</v>
      </c>
      <c r="J74" s="123"/>
      <c r="M74" s="123"/>
      <c r="N74" s="152" t="s">
        <v>65</v>
      </c>
      <c r="O74" s="161"/>
      <c r="P74" s="152" t="s">
        <v>74</v>
      </c>
      <c r="Q74" s="147"/>
      <c r="R74" s="154">
        <v>2000</v>
      </c>
      <c r="S74" s="103" t="s">
        <v>137</v>
      </c>
    </row>
    <row r="75" spans="1:21" ht="14.25" customHeight="1" x14ac:dyDescent="0.2">
      <c r="A75" s="103"/>
      <c r="B75" s="103"/>
      <c r="C75" s="103"/>
      <c r="D75" s="103"/>
      <c r="E75" s="103"/>
      <c r="F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</row>
    <row r="76" spans="1:21" ht="14.25" customHeight="1" x14ac:dyDescent="0.2">
      <c r="A76" s="141"/>
      <c r="B76" s="156">
        <f>(B73*E73+M73*O73)/H74</f>
        <v>701750.46156976314</v>
      </c>
      <c r="C76" s="156"/>
      <c r="D76" s="103" t="s">
        <v>138</v>
      </c>
      <c r="E76" s="141" t="s">
        <v>92</v>
      </c>
      <c r="F76" s="111">
        <f>B76*(2000/8760)</f>
        <v>160217.00035839342</v>
      </c>
      <c r="G76" s="103" t="s">
        <v>139</v>
      </c>
      <c r="L76" s="103"/>
      <c r="N76" s="103"/>
      <c r="O76" s="103"/>
      <c r="P76" s="103"/>
      <c r="Q76" s="103"/>
      <c r="R76" s="103"/>
      <c r="S76" s="103"/>
      <c r="T76" s="103"/>
      <c r="U76" s="103"/>
    </row>
    <row r="77" spans="1:21" ht="14.25" customHeight="1" x14ac:dyDescent="0.2">
      <c r="A77" s="103"/>
      <c r="B77" s="103"/>
      <c r="C77" s="103"/>
      <c r="D77" s="103"/>
      <c r="E77" s="103"/>
      <c r="F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</row>
    <row r="78" spans="1:21" ht="14.25" customHeight="1" x14ac:dyDescent="0.2">
      <c r="A78" s="103"/>
      <c r="B78" s="103"/>
      <c r="C78" s="103"/>
      <c r="D78" s="103"/>
      <c r="E78" s="103"/>
      <c r="F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</row>
    <row r="79" spans="1:21" ht="14.25" customHeight="1" x14ac:dyDescent="0.2">
      <c r="A79" s="84"/>
      <c r="B79" s="79" t="s">
        <v>150</v>
      </c>
      <c r="C79" s="79"/>
      <c r="D79" s="79"/>
      <c r="E79" s="79"/>
      <c r="F79" s="79"/>
      <c r="G79" s="79"/>
      <c r="H79" s="79"/>
      <c r="I79" s="79"/>
      <c r="J79" s="79"/>
      <c r="K79" s="84"/>
      <c r="L79" s="84"/>
      <c r="M79" s="84"/>
      <c r="N79" s="84"/>
      <c r="O79" s="84"/>
      <c r="P79" s="84"/>
    </row>
    <row r="80" spans="1:21" ht="14.25" customHeight="1" x14ac:dyDescent="0.2">
      <c r="B80" s="79" t="s">
        <v>151</v>
      </c>
      <c r="C80" s="79"/>
      <c r="D80" s="79"/>
      <c r="E80" s="79"/>
      <c r="F80" s="79"/>
      <c r="G80" s="79"/>
      <c r="H80" s="79"/>
      <c r="I80" s="79"/>
      <c r="J80" s="79"/>
    </row>
    <row r="81" spans="2:10" ht="14.25" customHeight="1" x14ac:dyDescent="0.2">
      <c r="B81" s="79" t="s">
        <v>152</v>
      </c>
      <c r="C81" s="79"/>
      <c r="D81" s="79"/>
      <c r="E81" s="79"/>
      <c r="F81" s="79"/>
      <c r="G81" s="79"/>
      <c r="H81" s="79"/>
      <c r="I81" s="79"/>
      <c r="J81" s="79"/>
    </row>
    <row r="82" spans="2:10" ht="14.25" customHeight="1" x14ac:dyDescent="0.2">
      <c r="B82" s="79" t="s">
        <v>153</v>
      </c>
      <c r="C82" s="79"/>
      <c r="D82" s="84"/>
      <c r="E82" s="84"/>
      <c r="F82" s="84"/>
      <c r="G82" s="84"/>
      <c r="H82" s="84"/>
      <c r="I82" s="84"/>
      <c r="J82" s="84"/>
    </row>
  </sheetData>
  <mergeCells count="13">
    <mergeCell ref="G61:G62"/>
    <mergeCell ref="G67:G68"/>
    <mergeCell ref="G73:G74"/>
    <mergeCell ref="G32:G33"/>
    <mergeCell ref="G38:G39"/>
    <mergeCell ref="G44:G45"/>
    <mergeCell ref="G49:G50"/>
    <mergeCell ref="G55:G56"/>
    <mergeCell ref="A1:P1"/>
    <mergeCell ref="F6:N6"/>
    <mergeCell ref="G20:G21"/>
    <mergeCell ref="Q20:Q21"/>
    <mergeCell ref="G26:G27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83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1" width="17.42578125" customWidth="1"/>
    <col min="2" max="2" width="16.42578125" customWidth="1"/>
    <col min="3" max="3" width="17" customWidth="1"/>
    <col min="4" max="4" width="12" customWidth="1"/>
    <col min="5" max="5" width="11" customWidth="1"/>
    <col min="6" max="6" width="9.85546875" customWidth="1"/>
    <col min="7" max="7" width="4" customWidth="1"/>
    <col min="8" max="8" width="8.42578125" customWidth="1"/>
    <col min="9" max="9" width="7" customWidth="1"/>
    <col min="10" max="10" width="5.5703125" customWidth="1"/>
    <col min="11" max="11" width="3.42578125" customWidth="1"/>
    <col min="12" max="12" width="3.5703125" customWidth="1"/>
    <col min="13" max="13" width="12.140625" customWidth="1"/>
    <col min="14" max="14" width="7.140625" customWidth="1"/>
    <col min="15" max="15" width="11" customWidth="1"/>
    <col min="16" max="16" width="8.28515625" customWidth="1"/>
    <col min="17" max="17" width="1.7109375" customWidth="1"/>
    <col min="18" max="18" width="7" customWidth="1"/>
    <col min="19" max="19" width="7.28515625" customWidth="1"/>
    <col min="20" max="20" width="5.5703125" customWidth="1"/>
    <col min="21" max="21" width="3.42578125" customWidth="1"/>
  </cols>
  <sheetData>
    <row r="1" spans="1:24" ht="14.25" customHeight="1" x14ac:dyDescent="0.2">
      <c r="A1" s="574" t="s">
        <v>205</v>
      </c>
      <c r="B1" s="574"/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</row>
    <row r="2" spans="1:24" ht="14.25" customHeight="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24" ht="51.75" customHeight="1" x14ac:dyDescent="0.2">
      <c r="A3" s="104" t="s">
        <v>106</v>
      </c>
      <c r="B3" s="105" t="s">
        <v>107</v>
      </c>
      <c r="C3" s="105" t="s">
        <v>198</v>
      </c>
      <c r="D3" s="106" t="s">
        <v>109</v>
      </c>
      <c r="E3" s="106" t="s">
        <v>110</v>
      </c>
      <c r="M3" s="103"/>
      <c r="N3" s="103"/>
      <c r="O3" s="103"/>
      <c r="P3" s="103"/>
    </row>
    <row r="4" spans="1:24" ht="14.25" customHeight="1" x14ac:dyDescent="0.2">
      <c r="A4" s="107" t="s">
        <v>20</v>
      </c>
      <c r="B4" s="210">
        <v>9.2099392372881395E-2</v>
      </c>
      <c r="C4" s="210">
        <v>0.108058493511864</v>
      </c>
      <c r="D4" s="109">
        <f>B23</f>
        <v>299.22947428302143</v>
      </c>
      <c r="E4" s="110">
        <f>F23</f>
        <v>68.317231571466081</v>
      </c>
      <c r="J4" s="111"/>
      <c r="K4" s="112"/>
      <c r="L4" s="112"/>
      <c r="M4" s="103"/>
      <c r="N4" s="103"/>
      <c r="O4" s="103"/>
      <c r="P4" s="103"/>
    </row>
    <row r="5" spans="1:24" ht="14.25" customHeight="1" x14ac:dyDescent="0.2">
      <c r="A5" s="113" t="s">
        <v>21</v>
      </c>
      <c r="B5" s="210">
        <v>2.2429676537803301E-2</v>
      </c>
      <c r="C5" s="210">
        <v>9.4426363060370194E-3</v>
      </c>
      <c r="D5" s="116">
        <f>B29</f>
        <v>61.269172218363671</v>
      </c>
      <c r="E5" s="117">
        <f>F29</f>
        <v>13.988395483644673</v>
      </c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24" ht="14.25" customHeight="1" x14ac:dyDescent="0.2">
      <c r="A6" s="113" t="s">
        <v>22</v>
      </c>
      <c r="B6" s="114">
        <v>2.0999999999999999E-3</v>
      </c>
      <c r="C6" s="114">
        <v>8.3000000000000001E-3</v>
      </c>
      <c r="D6" s="116">
        <f>B35</f>
        <v>10.836518803882379</v>
      </c>
      <c r="E6" s="117">
        <f>F35</f>
        <v>2.4740910511146983</v>
      </c>
      <c r="F6" s="575" t="s">
        <v>111</v>
      </c>
      <c r="G6" s="575"/>
      <c r="H6" s="575"/>
      <c r="I6" s="575"/>
      <c r="J6" s="575"/>
      <c r="K6" s="575"/>
      <c r="L6" s="575"/>
      <c r="M6" s="575"/>
      <c r="N6" s="575"/>
      <c r="O6" s="118"/>
      <c r="P6" s="118"/>
    </row>
    <row r="7" spans="1:24" ht="14.25" customHeight="1" x14ac:dyDescent="0.2">
      <c r="A7" s="113" t="s">
        <v>17</v>
      </c>
      <c r="B7" s="114">
        <v>6.6E-3</v>
      </c>
      <c r="C7" s="114">
        <v>2.8400000000000002E-2</v>
      </c>
      <c r="D7" s="116">
        <f>B41</f>
        <v>35.64922807542348</v>
      </c>
      <c r="E7" s="117">
        <f>F41</f>
        <v>8.1390931679049032</v>
      </c>
      <c r="F7" s="119" t="s">
        <v>112</v>
      </c>
      <c r="G7" s="120" t="s">
        <v>199</v>
      </c>
      <c r="I7" s="120"/>
      <c r="J7" s="120"/>
      <c r="K7" s="120"/>
      <c r="L7" s="120"/>
      <c r="M7" s="120"/>
      <c r="N7" s="120"/>
      <c r="O7" s="120"/>
      <c r="P7" s="120"/>
    </row>
    <row r="8" spans="1:24" ht="14.25" customHeight="1" x14ac:dyDescent="0.2">
      <c r="A8" s="113" t="s">
        <v>18</v>
      </c>
      <c r="B8" s="114">
        <v>6.6E-3</v>
      </c>
      <c r="C8" s="114">
        <v>3.5700000000000003E-2</v>
      </c>
      <c r="D8" s="116">
        <f>B47</f>
        <v>40.669637627931486</v>
      </c>
      <c r="E8" s="121">
        <f>F47</f>
        <v>9.2853053945049044</v>
      </c>
      <c r="F8" s="122"/>
      <c r="G8" s="120" t="s">
        <v>200</v>
      </c>
      <c r="H8" s="120"/>
      <c r="I8" s="120"/>
      <c r="J8" s="120"/>
      <c r="K8" s="120"/>
      <c r="L8" s="120"/>
      <c r="M8" s="120"/>
      <c r="N8" s="120"/>
      <c r="O8" s="120"/>
    </row>
    <row r="9" spans="1:24" ht="14.25" customHeight="1" x14ac:dyDescent="0.2">
      <c r="A9" s="113" t="s">
        <v>40</v>
      </c>
      <c r="B9" s="114">
        <v>6.6E-3</v>
      </c>
      <c r="C9" s="114">
        <v>3.5700000000000003E-2</v>
      </c>
      <c r="D9" s="116">
        <f>B53</f>
        <v>40.669637627931486</v>
      </c>
      <c r="E9" s="117">
        <f>F53</f>
        <v>9.2853053945049044</v>
      </c>
      <c r="F9" s="123"/>
      <c r="G9" s="120" t="s">
        <v>115</v>
      </c>
      <c r="H9" s="120"/>
      <c r="I9" s="120"/>
      <c r="J9" s="120"/>
      <c r="K9" s="120"/>
      <c r="L9" s="120"/>
      <c r="M9" s="120"/>
      <c r="N9" s="120"/>
      <c r="O9" s="120"/>
    </row>
    <row r="10" spans="1:24" ht="14.25" customHeight="1" x14ac:dyDescent="0.2">
      <c r="A10" s="113" t="s">
        <v>19</v>
      </c>
      <c r="B10" s="114">
        <v>2.8E-3</v>
      </c>
      <c r="C10" s="115" t="s">
        <v>201</v>
      </c>
      <c r="D10" s="116">
        <f>B59</f>
        <v>7.3570594993522409</v>
      </c>
      <c r="E10" s="117">
        <f>F59</f>
        <v>1.6796939496237993</v>
      </c>
      <c r="F10" s="123"/>
      <c r="G10" s="123"/>
      <c r="H10" s="122"/>
      <c r="I10" s="122"/>
      <c r="J10" s="122"/>
      <c r="K10" s="122"/>
      <c r="L10" s="122"/>
      <c r="M10" s="122"/>
      <c r="N10" s="122"/>
      <c r="O10" s="122"/>
      <c r="P10" s="122"/>
    </row>
    <row r="11" spans="1:24" ht="14.25" customHeight="1" x14ac:dyDescent="0.2">
      <c r="A11" s="113" t="s">
        <v>42</v>
      </c>
      <c r="B11" s="114">
        <v>4.2999999999999999E-4</v>
      </c>
      <c r="C11" s="114">
        <v>7.7000000000000002E-3</v>
      </c>
      <c r="D11" s="116">
        <f>B65</f>
        <v>6.345597736238755</v>
      </c>
      <c r="E11" s="117">
        <f>F65</f>
        <v>1.4487666064472042</v>
      </c>
      <c r="F11" s="125" t="s">
        <v>117</v>
      </c>
      <c r="G11" s="120" t="s">
        <v>118</v>
      </c>
      <c r="H11" s="120"/>
      <c r="I11" s="120"/>
      <c r="J11" s="120"/>
      <c r="K11" s="120"/>
      <c r="L11" s="120"/>
      <c r="N11" s="122"/>
      <c r="O11" s="122"/>
      <c r="P11" s="122"/>
      <c r="V11" t="s">
        <v>24</v>
      </c>
      <c r="W11">
        <f>(73.96+0.003*25+0.0006*298)*2.2046*0.138</f>
        <v>22.578420600240001</v>
      </c>
      <c r="X11" t="s">
        <v>119</v>
      </c>
    </row>
    <row r="12" spans="1:24" ht="14.25" customHeight="1" x14ac:dyDescent="0.2">
      <c r="A12" s="113" t="s">
        <v>23</v>
      </c>
      <c r="B12" s="114">
        <v>0</v>
      </c>
      <c r="C12" s="114">
        <v>9.0000000000000002E-6</v>
      </c>
      <c r="D12" s="116">
        <f>B71</f>
        <v>6.1895460236400012E-3</v>
      </c>
      <c r="E12" s="117">
        <f>F71</f>
        <v>1.4131383615616441E-3</v>
      </c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W12">
        <f>(475409.8+224+267)*2204.62/8707340462.38</f>
        <v>0.12049378638965323</v>
      </c>
      <c r="X12" t="s">
        <v>120</v>
      </c>
    </row>
    <row r="13" spans="1:24" ht="14.25" customHeight="1" x14ac:dyDescent="0.2">
      <c r="A13" s="113" t="s">
        <v>24</v>
      </c>
      <c r="B13" s="114" t="s">
        <v>202</v>
      </c>
      <c r="C13" s="114" t="s">
        <v>122</v>
      </c>
      <c r="D13" s="127">
        <f>B77</f>
        <v>401006.80210762471</v>
      </c>
      <c r="E13" s="128">
        <f>F77</f>
        <v>91554.06440813349</v>
      </c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</row>
    <row r="14" spans="1:24" ht="14.25" customHeight="1" x14ac:dyDescent="0.2">
      <c r="A14" s="129" t="s">
        <v>43</v>
      </c>
      <c r="B14" s="130">
        <v>0</v>
      </c>
      <c r="C14" s="131">
        <v>0</v>
      </c>
      <c r="D14" s="132">
        <v>0</v>
      </c>
      <c r="E14" s="133">
        <v>0</v>
      </c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24" ht="14.25" customHeight="1" x14ac:dyDescent="0.2">
      <c r="A15" s="134"/>
      <c r="B15" s="134"/>
      <c r="C15" s="134"/>
      <c r="D15" s="134"/>
      <c r="E15" s="111"/>
      <c r="H15" s="103"/>
      <c r="I15" s="103"/>
      <c r="J15" s="103"/>
      <c r="K15" s="103"/>
      <c r="L15" s="103"/>
      <c r="M15" s="103"/>
      <c r="N15" s="103"/>
      <c r="O15" s="103"/>
      <c r="P15" s="103"/>
    </row>
    <row r="16" spans="1:24" ht="14.25" customHeight="1" x14ac:dyDescent="0.2">
      <c r="A16" s="135" t="s">
        <v>203</v>
      </c>
      <c r="B16" s="136">
        <f>SUM('San Juan'!E35)</f>
        <v>9967062.8399999999</v>
      </c>
      <c r="C16" s="136"/>
      <c r="D16" s="137" t="s">
        <v>89</v>
      </c>
      <c r="H16" s="103"/>
      <c r="I16" s="103"/>
      <c r="J16" s="103"/>
      <c r="K16" s="103"/>
      <c r="L16" s="103"/>
      <c r="M16" s="103"/>
      <c r="N16" s="103"/>
      <c r="O16" s="103"/>
      <c r="P16" s="103"/>
    </row>
    <row r="17" spans="1:21" ht="14.25" customHeight="1" x14ac:dyDescent="0.2">
      <c r="A17" s="138" t="s">
        <v>124</v>
      </c>
      <c r="B17" s="139">
        <f>SUM('San Juan'!O35)</f>
        <v>4788405149.7800007</v>
      </c>
      <c r="C17" s="139"/>
      <c r="D17" s="112" t="s">
        <v>125</v>
      </c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</row>
    <row r="18" spans="1:21" ht="14.25" customHeight="1" x14ac:dyDescent="0.25">
      <c r="A18" s="86" t="s">
        <v>204</v>
      </c>
      <c r="B18" s="211">
        <f>SUM('San Juan'!G35)</f>
        <v>7.474999999999999E-4</v>
      </c>
      <c r="D18" t="s">
        <v>127</v>
      </c>
      <c r="M18" s="103"/>
      <c r="N18" s="103"/>
      <c r="O18" s="103"/>
      <c r="P18" s="103"/>
    </row>
    <row r="19" spans="1:21" ht="14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</row>
    <row r="20" spans="1:21" ht="14.25" customHeight="1" x14ac:dyDescent="0.2">
      <c r="A20" s="141" t="s">
        <v>128</v>
      </c>
      <c r="B20" s="142">
        <f>B16</f>
        <v>9967062.8399999999</v>
      </c>
      <c r="C20" s="143"/>
      <c r="D20" s="144" t="s">
        <v>129</v>
      </c>
      <c r="E20" s="145">
        <v>0.13800000000000001</v>
      </c>
      <c r="F20" s="146" t="s">
        <v>130</v>
      </c>
      <c r="G20" s="576" t="s">
        <v>131</v>
      </c>
      <c r="H20" s="212">
        <f>C4</f>
        <v>0.108058493511864</v>
      </c>
      <c r="I20" s="149" t="s">
        <v>132</v>
      </c>
      <c r="J20" s="148">
        <v>1</v>
      </c>
      <c r="K20" s="148" t="s">
        <v>96</v>
      </c>
      <c r="L20" s="150" t="s">
        <v>133</v>
      </c>
      <c r="M20" s="151">
        <f>B17</f>
        <v>4788405149.7800007</v>
      </c>
      <c r="N20" s="146" t="s">
        <v>134</v>
      </c>
      <c r="O20" s="142">
        <v>1020</v>
      </c>
      <c r="P20" s="144" t="s">
        <v>135</v>
      </c>
      <c r="Q20" s="576" t="s">
        <v>131</v>
      </c>
      <c r="R20" s="212">
        <f>B4</f>
        <v>9.2099392372881395E-2</v>
      </c>
      <c r="S20" s="149" t="s">
        <v>132</v>
      </c>
      <c r="T20" s="148">
        <v>1</v>
      </c>
      <c r="U20" s="148" t="s">
        <v>96</v>
      </c>
    </row>
    <row r="21" spans="1:21" ht="14.25" customHeight="1" x14ac:dyDescent="0.2">
      <c r="A21" s="123"/>
      <c r="B21" s="147"/>
      <c r="C21" s="123"/>
      <c r="D21" s="152" t="s">
        <v>65</v>
      </c>
      <c r="E21" s="123"/>
      <c r="F21" s="562" t="s">
        <v>94</v>
      </c>
      <c r="G21" s="576"/>
      <c r="H21" s="103"/>
      <c r="I21" s="153" t="s">
        <v>136</v>
      </c>
      <c r="J21" s="154">
        <v>2000</v>
      </c>
      <c r="K21" s="103" t="s">
        <v>137</v>
      </c>
      <c r="L21" s="123"/>
      <c r="M21" s="123"/>
      <c r="N21" s="152" t="s">
        <v>65</v>
      </c>
      <c r="O21" s="155">
        <v>1000000</v>
      </c>
      <c r="P21" s="152" t="s">
        <v>74</v>
      </c>
      <c r="Q21" s="576"/>
      <c r="R21" s="103"/>
      <c r="S21" s="153" t="s">
        <v>136</v>
      </c>
      <c r="T21" s="154">
        <v>2000</v>
      </c>
      <c r="U21" s="103" t="s">
        <v>137</v>
      </c>
    </row>
    <row r="22" spans="1:21" ht="14.2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</row>
    <row r="23" spans="1:21" ht="14.25" customHeight="1" x14ac:dyDescent="0.25">
      <c r="A23" s="141"/>
      <c r="B23" s="156">
        <f>(B20*E20*H20+M20*O20*R20/1000000)/2000</f>
        <v>299.22947428302143</v>
      </c>
      <c r="C23" s="156"/>
      <c r="D23" s="103" t="s">
        <v>138</v>
      </c>
      <c r="E23" s="141" t="s">
        <v>92</v>
      </c>
      <c r="F23" s="111">
        <f>B23*(2000/8760)</f>
        <v>68.317231571466081</v>
      </c>
      <c r="G23" s="103" t="s">
        <v>139</v>
      </c>
      <c r="H23" s="157"/>
      <c r="I23" s="103"/>
      <c r="J23" s="103"/>
      <c r="K23" s="103"/>
      <c r="L23" s="103"/>
      <c r="M23" s="103"/>
      <c r="N23" s="103"/>
      <c r="O23" s="103"/>
      <c r="P23" s="103"/>
    </row>
    <row r="24" spans="1:21" ht="14.25" customHeight="1" x14ac:dyDescent="0.2">
      <c r="A24" s="103"/>
      <c r="B24" s="103"/>
      <c r="C24" s="103"/>
      <c r="D24" s="103"/>
      <c r="E24" s="103"/>
      <c r="F24" s="103"/>
      <c r="G24" s="103"/>
      <c r="H24" s="158"/>
      <c r="I24" s="158"/>
      <c r="J24" s="158"/>
      <c r="K24" s="103"/>
      <c r="L24" s="103"/>
      <c r="M24" s="103"/>
      <c r="N24" s="103"/>
      <c r="O24" s="103"/>
      <c r="P24" s="103"/>
    </row>
    <row r="25" spans="1:21" ht="14.25" customHeight="1" x14ac:dyDescent="0.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</row>
    <row r="26" spans="1:21" ht="14.25" customHeight="1" x14ac:dyDescent="0.2">
      <c r="A26" s="141" t="s">
        <v>140</v>
      </c>
      <c r="B26" s="142">
        <f>B16</f>
        <v>9967062.8399999999</v>
      </c>
      <c r="C26" s="143"/>
      <c r="D26" s="144" t="s">
        <v>129</v>
      </c>
      <c r="E26" s="145">
        <v>0.13800000000000001</v>
      </c>
      <c r="F26" s="146" t="s">
        <v>130</v>
      </c>
      <c r="G26" s="576" t="s">
        <v>131</v>
      </c>
      <c r="H26" s="212">
        <f>C5</f>
        <v>9.4426363060370194E-3</v>
      </c>
      <c r="I26" s="149" t="s">
        <v>132</v>
      </c>
      <c r="J26" s="148">
        <v>1</v>
      </c>
      <c r="K26" s="148" t="s">
        <v>96</v>
      </c>
      <c r="L26" s="150" t="s">
        <v>133</v>
      </c>
      <c r="M26" s="151">
        <f>B17</f>
        <v>4788405149.7800007</v>
      </c>
      <c r="N26" s="144" t="s">
        <v>134</v>
      </c>
      <c r="O26" s="143">
        <v>1020</v>
      </c>
      <c r="P26" s="144" t="s">
        <v>135</v>
      </c>
      <c r="Q26" s="147" t="s">
        <v>131</v>
      </c>
      <c r="R26" s="212">
        <f>B5</f>
        <v>2.2429676537803301E-2</v>
      </c>
      <c r="S26" s="149" t="s">
        <v>132</v>
      </c>
      <c r="T26" s="159">
        <v>1</v>
      </c>
      <c r="U26" s="148" t="s">
        <v>96</v>
      </c>
    </row>
    <row r="27" spans="1:21" ht="14.25" customHeight="1" x14ac:dyDescent="0.2">
      <c r="A27" s="123"/>
      <c r="B27" s="147"/>
      <c r="C27" s="123"/>
      <c r="D27" s="152" t="s">
        <v>65</v>
      </c>
      <c r="E27" s="123"/>
      <c r="F27" s="160" t="s">
        <v>94</v>
      </c>
      <c r="G27" s="576"/>
      <c r="H27" s="103"/>
      <c r="I27" s="153" t="s">
        <v>136</v>
      </c>
      <c r="J27" s="154">
        <v>2000</v>
      </c>
      <c r="K27" s="103" t="s">
        <v>137</v>
      </c>
      <c r="L27" s="123"/>
      <c r="M27" s="123"/>
      <c r="N27" s="152" t="s">
        <v>65</v>
      </c>
      <c r="O27" s="161">
        <v>1000000</v>
      </c>
      <c r="P27" s="152" t="s">
        <v>74</v>
      </c>
      <c r="Q27" s="147"/>
      <c r="R27" s="103"/>
      <c r="S27" s="153" t="s">
        <v>136</v>
      </c>
      <c r="T27" s="162">
        <v>2000</v>
      </c>
      <c r="U27" s="103" t="s">
        <v>137</v>
      </c>
    </row>
    <row r="28" spans="1:21" ht="14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</row>
    <row r="29" spans="1:21" ht="14.25" customHeight="1" x14ac:dyDescent="0.2">
      <c r="A29" s="141"/>
      <c r="B29" s="156">
        <f>(B26*E26*H26+M26*O26*R26/1000000)/2000</f>
        <v>61.269172218363671</v>
      </c>
      <c r="C29" s="156"/>
      <c r="D29" s="103" t="s">
        <v>138</v>
      </c>
      <c r="E29" s="141" t="s">
        <v>92</v>
      </c>
      <c r="F29" s="111">
        <f>B29*(2000/8760)</f>
        <v>13.988395483644673</v>
      </c>
      <c r="G29" s="103" t="s">
        <v>139</v>
      </c>
      <c r="I29" s="103"/>
      <c r="J29" s="103"/>
      <c r="K29" s="103"/>
      <c r="L29" s="103"/>
      <c r="M29" s="103"/>
      <c r="N29" s="103"/>
      <c r="O29" s="103"/>
      <c r="P29" s="103"/>
    </row>
    <row r="30" spans="1:21" ht="14.25" customHeight="1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</row>
    <row r="31" spans="1:21" ht="14.25" customHeight="1" x14ac:dyDescent="0.2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</row>
    <row r="32" spans="1:21" ht="14.25" customHeight="1" x14ac:dyDescent="0.2">
      <c r="A32" s="141" t="s">
        <v>141</v>
      </c>
      <c r="B32" s="142">
        <f>B16</f>
        <v>9967062.8399999999</v>
      </c>
      <c r="C32" s="143"/>
      <c r="D32" s="144" t="s">
        <v>129</v>
      </c>
      <c r="E32" s="145">
        <v>0.13800000000000001</v>
      </c>
      <c r="F32" s="146" t="s">
        <v>130</v>
      </c>
      <c r="G32" s="576" t="s">
        <v>131</v>
      </c>
      <c r="H32" s="148">
        <f>C6</f>
        <v>8.3000000000000001E-3</v>
      </c>
      <c r="I32" s="149" t="s">
        <v>132</v>
      </c>
      <c r="J32" s="148">
        <v>1</v>
      </c>
      <c r="K32" s="148" t="s">
        <v>96</v>
      </c>
      <c r="L32" s="150" t="s">
        <v>133</v>
      </c>
      <c r="M32" s="151">
        <f>B17</f>
        <v>4788405149.7800007</v>
      </c>
      <c r="N32" s="144" t="s">
        <v>134</v>
      </c>
      <c r="O32" s="143">
        <v>1020</v>
      </c>
      <c r="P32" s="144" t="s">
        <v>135</v>
      </c>
      <c r="Q32" s="147" t="s">
        <v>131</v>
      </c>
      <c r="R32" s="148">
        <f>B6</f>
        <v>2.0999999999999999E-3</v>
      </c>
      <c r="S32" s="149" t="s">
        <v>132</v>
      </c>
      <c r="T32" s="148">
        <v>1</v>
      </c>
      <c r="U32" s="148" t="s">
        <v>96</v>
      </c>
    </row>
    <row r="33" spans="1:21" ht="14.25" customHeight="1" x14ac:dyDescent="0.2">
      <c r="A33" s="123"/>
      <c r="B33" s="147"/>
      <c r="C33" s="123"/>
      <c r="D33" s="152" t="s">
        <v>65</v>
      </c>
      <c r="E33" s="123"/>
      <c r="F33" s="562" t="s">
        <v>94</v>
      </c>
      <c r="G33" s="576"/>
      <c r="H33" s="103"/>
      <c r="I33" s="153" t="s">
        <v>136</v>
      </c>
      <c r="J33" s="154">
        <v>2000</v>
      </c>
      <c r="K33" s="103" t="s">
        <v>137</v>
      </c>
      <c r="L33" s="123"/>
      <c r="M33" s="123"/>
      <c r="N33" s="152" t="s">
        <v>65</v>
      </c>
      <c r="O33" s="161">
        <v>1000000</v>
      </c>
      <c r="P33" s="152" t="s">
        <v>74</v>
      </c>
      <c r="Q33" s="147"/>
      <c r="R33" s="103"/>
      <c r="S33" s="153" t="s">
        <v>136</v>
      </c>
      <c r="T33" s="154">
        <v>2000</v>
      </c>
      <c r="U33" s="103" t="s">
        <v>137</v>
      </c>
    </row>
    <row r="34" spans="1:21" ht="14.25" customHeight="1" x14ac:dyDescent="0.2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</row>
    <row r="35" spans="1:21" ht="14.25" customHeight="1" x14ac:dyDescent="0.2">
      <c r="A35" s="141"/>
      <c r="B35" s="156">
        <f>(B32*E32*H32+M32*O32*R32/1000000)/2000</f>
        <v>10.836518803882379</v>
      </c>
      <c r="C35" s="156"/>
      <c r="D35" s="103" t="s">
        <v>138</v>
      </c>
      <c r="E35" s="141" t="s">
        <v>92</v>
      </c>
      <c r="F35" s="111">
        <f>B35*(2000/8760)</f>
        <v>2.4740910511146983</v>
      </c>
      <c r="G35" s="103" t="s">
        <v>139</v>
      </c>
      <c r="I35" s="103"/>
      <c r="J35" s="103"/>
      <c r="K35" s="103"/>
      <c r="L35" s="103"/>
      <c r="M35" s="103"/>
      <c r="N35" s="103"/>
      <c r="O35" s="103"/>
      <c r="P35" s="103"/>
    </row>
    <row r="36" spans="1:21" ht="14.25" customHeight="1" x14ac:dyDescent="0.2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</row>
    <row r="37" spans="1:21" ht="14.25" customHeight="1" x14ac:dyDescent="0.2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</row>
    <row r="38" spans="1:21" ht="14.25" customHeight="1" x14ac:dyDescent="0.2">
      <c r="A38" s="141" t="s">
        <v>142</v>
      </c>
      <c r="B38" s="142">
        <f>B16</f>
        <v>9967062.8399999999</v>
      </c>
      <c r="C38" s="143"/>
      <c r="D38" s="144" t="s">
        <v>129</v>
      </c>
      <c r="E38" s="145">
        <v>0.13800000000000001</v>
      </c>
      <c r="F38" s="146" t="s">
        <v>130</v>
      </c>
      <c r="G38" s="576" t="s">
        <v>131</v>
      </c>
      <c r="H38" s="148">
        <f>C7</f>
        <v>2.8400000000000002E-2</v>
      </c>
      <c r="I38" s="149" t="s">
        <v>132</v>
      </c>
      <c r="J38" s="148">
        <v>1</v>
      </c>
      <c r="K38" s="148" t="s">
        <v>96</v>
      </c>
      <c r="L38" s="150" t="s">
        <v>133</v>
      </c>
      <c r="M38" s="151">
        <f>B17</f>
        <v>4788405149.7800007</v>
      </c>
      <c r="N38" s="144" t="s">
        <v>134</v>
      </c>
      <c r="O38" s="143">
        <v>1020</v>
      </c>
      <c r="P38" s="144" t="s">
        <v>135</v>
      </c>
      <c r="Q38" s="147" t="s">
        <v>131</v>
      </c>
      <c r="R38" s="148">
        <f>B7</f>
        <v>6.6E-3</v>
      </c>
      <c r="S38" s="149" t="s">
        <v>132</v>
      </c>
      <c r="T38" s="148">
        <v>1</v>
      </c>
      <c r="U38" s="148" t="s">
        <v>96</v>
      </c>
    </row>
    <row r="39" spans="1:21" ht="14.25" customHeight="1" x14ac:dyDescent="0.2">
      <c r="A39" s="123"/>
      <c r="B39" s="147"/>
      <c r="C39" s="123"/>
      <c r="D39" s="152" t="s">
        <v>65</v>
      </c>
      <c r="E39" s="123"/>
      <c r="F39" s="562" t="s">
        <v>94</v>
      </c>
      <c r="G39" s="576"/>
      <c r="H39" s="103"/>
      <c r="I39" s="153" t="s">
        <v>136</v>
      </c>
      <c r="J39" s="154">
        <v>2000</v>
      </c>
      <c r="K39" s="103" t="s">
        <v>137</v>
      </c>
      <c r="L39" s="123"/>
      <c r="M39" s="123"/>
      <c r="N39" s="152" t="s">
        <v>65</v>
      </c>
      <c r="O39" s="161">
        <v>1000000</v>
      </c>
      <c r="P39" s="152" t="s">
        <v>74</v>
      </c>
      <c r="Q39" s="147"/>
      <c r="R39" s="103"/>
      <c r="S39" s="153" t="s">
        <v>136</v>
      </c>
      <c r="T39" s="154">
        <v>2000</v>
      </c>
      <c r="U39" s="103" t="s">
        <v>137</v>
      </c>
    </row>
    <row r="40" spans="1:21" ht="14.25" customHeight="1" x14ac:dyDescent="0.2">
      <c r="A40" s="103"/>
      <c r="B40" s="103"/>
      <c r="C40" s="103"/>
      <c r="D40" s="103"/>
      <c r="E40" s="103"/>
      <c r="F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</row>
    <row r="41" spans="1:21" ht="14.25" customHeight="1" x14ac:dyDescent="0.2">
      <c r="A41" s="141"/>
      <c r="B41" s="156">
        <f>(B38*E38*H38+M38*O38*R38/1000000)/2000</f>
        <v>35.64922807542348</v>
      </c>
      <c r="C41" s="156"/>
      <c r="D41" s="103" t="s">
        <v>138</v>
      </c>
      <c r="E41" s="141" t="s">
        <v>92</v>
      </c>
      <c r="F41" s="111">
        <f>B41*(2000/8760)</f>
        <v>8.1390931679049032</v>
      </c>
      <c r="G41" s="103" t="s">
        <v>139</v>
      </c>
      <c r="L41" s="103" t="s">
        <v>139</v>
      </c>
      <c r="N41" s="103"/>
      <c r="O41" s="103"/>
      <c r="P41" s="103"/>
      <c r="Q41" s="103"/>
      <c r="R41" s="103"/>
      <c r="S41" s="103"/>
      <c r="T41" s="103"/>
      <c r="U41" s="103"/>
    </row>
    <row r="42" spans="1:21" ht="14.25" customHeight="1" x14ac:dyDescent="0.2">
      <c r="A42" s="141"/>
      <c r="B42" s="156"/>
      <c r="C42" s="156"/>
      <c r="D42" s="103"/>
      <c r="E42" s="141"/>
      <c r="F42" s="111"/>
      <c r="L42" s="103"/>
      <c r="N42" s="103"/>
      <c r="O42" s="103"/>
      <c r="P42" s="103"/>
      <c r="Q42" s="103"/>
      <c r="R42" s="103"/>
      <c r="S42" s="103"/>
      <c r="T42" s="103"/>
      <c r="U42" s="103"/>
    </row>
    <row r="43" spans="1:21" ht="14.25" customHeight="1" x14ac:dyDescent="0.2">
      <c r="A43" s="141"/>
      <c r="B43" s="156"/>
      <c r="C43" s="156"/>
      <c r="D43" s="103"/>
      <c r="E43" s="141"/>
      <c r="F43" s="111"/>
      <c r="L43" s="103"/>
      <c r="N43" s="103"/>
      <c r="O43" s="103"/>
      <c r="P43" s="103"/>
      <c r="Q43" s="103"/>
      <c r="R43" s="103"/>
      <c r="S43" s="103"/>
      <c r="T43" s="103"/>
      <c r="U43" s="103"/>
    </row>
    <row r="44" spans="1:21" ht="14.25" customHeight="1" x14ac:dyDescent="0.2">
      <c r="A44" s="141" t="s">
        <v>143</v>
      </c>
      <c r="B44" s="142">
        <f>B16</f>
        <v>9967062.8399999999</v>
      </c>
      <c r="C44" s="143"/>
      <c r="D44" s="144" t="s">
        <v>129</v>
      </c>
      <c r="E44" s="145">
        <v>0.13800000000000001</v>
      </c>
      <c r="F44" s="146" t="s">
        <v>130</v>
      </c>
      <c r="G44" s="576" t="s">
        <v>131</v>
      </c>
      <c r="H44" s="148">
        <f>C8</f>
        <v>3.5700000000000003E-2</v>
      </c>
      <c r="I44" s="149" t="s">
        <v>132</v>
      </c>
      <c r="J44" s="148">
        <v>1</v>
      </c>
      <c r="K44" s="148" t="s">
        <v>96</v>
      </c>
      <c r="L44" s="150" t="s">
        <v>133</v>
      </c>
      <c r="M44" s="151">
        <f>B17</f>
        <v>4788405149.7800007</v>
      </c>
      <c r="N44" s="144" t="s">
        <v>134</v>
      </c>
      <c r="O44" s="143">
        <v>1020</v>
      </c>
      <c r="P44" s="144" t="s">
        <v>135</v>
      </c>
      <c r="Q44" s="147" t="s">
        <v>131</v>
      </c>
      <c r="R44" s="148">
        <f>B8</f>
        <v>6.6E-3</v>
      </c>
      <c r="S44" s="149" t="s">
        <v>132</v>
      </c>
      <c r="T44" s="148">
        <v>1</v>
      </c>
      <c r="U44" s="148" t="s">
        <v>96</v>
      </c>
    </row>
    <row r="45" spans="1:21" ht="14.25" customHeight="1" x14ac:dyDescent="0.2">
      <c r="A45" s="123"/>
      <c r="B45" s="147"/>
      <c r="C45" s="123"/>
      <c r="D45" s="152" t="s">
        <v>65</v>
      </c>
      <c r="E45" s="123"/>
      <c r="F45" s="562" t="s">
        <v>94</v>
      </c>
      <c r="G45" s="576"/>
      <c r="H45" s="103"/>
      <c r="I45" s="153" t="s">
        <v>136</v>
      </c>
      <c r="J45" s="154">
        <v>2000</v>
      </c>
      <c r="K45" s="103" t="s">
        <v>137</v>
      </c>
      <c r="L45" s="123"/>
      <c r="M45" s="123"/>
      <c r="N45" s="152" t="s">
        <v>65</v>
      </c>
      <c r="O45" s="161">
        <v>1000000</v>
      </c>
      <c r="P45" s="152" t="s">
        <v>74</v>
      </c>
      <c r="Q45" s="147"/>
      <c r="R45" s="103"/>
      <c r="S45" s="153" t="s">
        <v>136</v>
      </c>
      <c r="T45" s="154">
        <v>2000</v>
      </c>
      <c r="U45" s="103" t="s">
        <v>137</v>
      </c>
    </row>
    <row r="46" spans="1:21" ht="14.25" customHeight="1" x14ac:dyDescent="0.2">
      <c r="A46" s="103"/>
      <c r="B46" s="103"/>
      <c r="C46" s="103"/>
      <c r="D46" s="103"/>
      <c r="E46" s="103"/>
      <c r="F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</row>
    <row r="47" spans="1:21" ht="14.25" customHeight="1" x14ac:dyDescent="0.2">
      <c r="A47" s="141"/>
      <c r="B47" s="156">
        <f>(B44*E44*H44+M44*O44*R44/1000000)/2000</f>
        <v>40.669637627931486</v>
      </c>
      <c r="C47" s="156"/>
      <c r="D47" s="103" t="s">
        <v>138</v>
      </c>
      <c r="E47" s="141" t="s">
        <v>92</v>
      </c>
      <c r="F47" s="111">
        <f>B47*(2000/8760)</f>
        <v>9.2853053945049044</v>
      </c>
      <c r="G47" s="103" t="s">
        <v>139</v>
      </c>
      <c r="L47" s="103" t="s">
        <v>139</v>
      </c>
      <c r="N47" s="103"/>
      <c r="O47" s="103"/>
      <c r="P47" s="103"/>
      <c r="Q47" s="103"/>
      <c r="R47" s="103"/>
      <c r="S47" s="103"/>
      <c r="T47" s="103"/>
      <c r="U47" s="103"/>
    </row>
    <row r="48" spans="1:21" ht="14.25" customHeight="1" x14ac:dyDescent="0.2">
      <c r="A48" s="103"/>
      <c r="B48" s="103"/>
      <c r="C48" s="103"/>
      <c r="D48" s="103"/>
      <c r="E48" s="103"/>
      <c r="F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</row>
    <row r="49" spans="1:21" ht="14.25" customHeight="1" x14ac:dyDescent="0.2">
      <c r="A49" s="103"/>
      <c r="B49" s="103"/>
      <c r="C49" s="103"/>
      <c r="D49" s="103"/>
      <c r="E49" s="103"/>
      <c r="F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</row>
    <row r="50" spans="1:21" ht="14.25" customHeight="1" x14ac:dyDescent="0.2">
      <c r="A50" s="141" t="s">
        <v>144</v>
      </c>
      <c r="B50" s="142">
        <f>B16</f>
        <v>9967062.8399999999</v>
      </c>
      <c r="C50" s="143"/>
      <c r="D50" s="144" t="s">
        <v>129</v>
      </c>
      <c r="E50" s="145">
        <v>0.13800000000000001</v>
      </c>
      <c r="F50" s="146" t="s">
        <v>130</v>
      </c>
      <c r="G50" s="576" t="s">
        <v>131</v>
      </c>
      <c r="H50" s="148">
        <f>C9</f>
        <v>3.5700000000000003E-2</v>
      </c>
      <c r="I50" s="149" t="s">
        <v>132</v>
      </c>
      <c r="J50" s="148">
        <v>1</v>
      </c>
      <c r="K50" s="148" t="s">
        <v>96</v>
      </c>
      <c r="L50" s="150" t="s">
        <v>133</v>
      </c>
      <c r="M50" s="151">
        <f>B17</f>
        <v>4788405149.7800007</v>
      </c>
      <c r="N50" s="144" t="s">
        <v>134</v>
      </c>
      <c r="O50" s="143">
        <v>1020</v>
      </c>
      <c r="P50" s="144" t="s">
        <v>135</v>
      </c>
      <c r="Q50" s="147" t="s">
        <v>131</v>
      </c>
      <c r="R50" s="148">
        <f>B9</f>
        <v>6.6E-3</v>
      </c>
      <c r="S50" s="149" t="s">
        <v>132</v>
      </c>
      <c r="T50" s="148">
        <v>1</v>
      </c>
      <c r="U50" s="148" t="s">
        <v>96</v>
      </c>
    </row>
    <row r="51" spans="1:21" ht="14.25" customHeight="1" x14ac:dyDescent="0.2">
      <c r="A51" s="123"/>
      <c r="B51" s="147"/>
      <c r="C51" s="123"/>
      <c r="D51" s="152" t="s">
        <v>65</v>
      </c>
      <c r="E51" s="123"/>
      <c r="F51" s="562" t="s">
        <v>94</v>
      </c>
      <c r="G51" s="576"/>
      <c r="H51" s="103"/>
      <c r="I51" s="153" t="s">
        <v>136</v>
      </c>
      <c r="J51" s="154">
        <v>2000</v>
      </c>
      <c r="K51" s="103" t="s">
        <v>137</v>
      </c>
      <c r="L51" s="123"/>
      <c r="M51" s="123"/>
      <c r="N51" s="152" t="s">
        <v>65</v>
      </c>
      <c r="O51" s="161">
        <v>1000000</v>
      </c>
      <c r="P51" s="152" t="s">
        <v>74</v>
      </c>
      <c r="Q51" s="147"/>
      <c r="R51" s="103"/>
      <c r="S51" s="153" t="s">
        <v>136</v>
      </c>
      <c r="T51" s="154">
        <v>2000</v>
      </c>
      <c r="U51" s="103" t="s">
        <v>137</v>
      </c>
    </row>
    <row r="52" spans="1:21" ht="14.25" customHeight="1" x14ac:dyDescent="0.2">
      <c r="A52" s="103"/>
      <c r="B52" s="103"/>
      <c r="C52" s="103"/>
      <c r="D52" s="103"/>
      <c r="E52" s="103"/>
      <c r="F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</row>
    <row r="53" spans="1:21" ht="14.25" customHeight="1" x14ac:dyDescent="0.2">
      <c r="A53" s="141"/>
      <c r="B53" s="156">
        <f>(B50*E50*H50+M50*O50*R50/1000000)/2000</f>
        <v>40.669637627931486</v>
      </c>
      <c r="C53" s="156"/>
      <c r="D53" s="103" t="s">
        <v>138</v>
      </c>
      <c r="E53" s="141" t="s">
        <v>92</v>
      </c>
      <c r="F53" s="111">
        <f>B53*(2000/8760)</f>
        <v>9.2853053945049044</v>
      </c>
      <c r="G53" s="103" t="s">
        <v>139</v>
      </c>
      <c r="L53" s="103" t="s">
        <v>139</v>
      </c>
      <c r="N53" s="103"/>
      <c r="O53" s="103"/>
      <c r="P53" s="103"/>
      <c r="Q53" s="103"/>
      <c r="R53" s="103"/>
      <c r="S53" s="103"/>
      <c r="T53" s="103"/>
      <c r="U53" s="103"/>
    </row>
    <row r="54" spans="1:21" ht="14.25" customHeight="1" x14ac:dyDescent="0.2">
      <c r="A54" s="103"/>
      <c r="B54" s="103"/>
      <c r="C54" s="103"/>
      <c r="D54" s="103"/>
      <c r="E54" s="103"/>
      <c r="F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</row>
    <row r="55" spans="1:21" ht="14.25" customHeight="1" x14ac:dyDescent="0.2">
      <c r="A55" s="103"/>
      <c r="B55" s="103"/>
      <c r="C55" s="103"/>
      <c r="D55" s="103"/>
      <c r="E55" s="103"/>
      <c r="F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</row>
    <row r="56" spans="1:21" ht="14.25" customHeight="1" x14ac:dyDescent="0.2">
      <c r="A56" s="141" t="s">
        <v>145</v>
      </c>
      <c r="B56" s="142">
        <f>B16</f>
        <v>9967062.8399999999</v>
      </c>
      <c r="C56" s="143"/>
      <c r="D56" s="144" t="s">
        <v>129</v>
      </c>
      <c r="E56" s="145">
        <v>0.13800000000000001</v>
      </c>
      <c r="F56" s="146" t="s">
        <v>130</v>
      </c>
      <c r="G56" s="576" t="s">
        <v>131</v>
      </c>
      <c r="H56" s="148">
        <f>1.01*B18</f>
        <v>7.5497499999999996E-4</v>
      </c>
      <c r="I56" s="149" t="s">
        <v>132</v>
      </c>
      <c r="J56" s="148">
        <v>1</v>
      </c>
      <c r="K56" s="148" t="s">
        <v>96</v>
      </c>
      <c r="L56" s="150" t="s">
        <v>133</v>
      </c>
      <c r="M56" s="151">
        <f>B17</f>
        <v>4788405149.7800007</v>
      </c>
      <c r="N56" s="144" t="s">
        <v>134</v>
      </c>
      <c r="O56" s="143">
        <v>1020</v>
      </c>
      <c r="P56" s="144" t="s">
        <v>135</v>
      </c>
      <c r="Q56" s="147" t="s">
        <v>131</v>
      </c>
      <c r="R56" s="148">
        <f>B10</f>
        <v>2.8E-3</v>
      </c>
      <c r="S56" s="149" t="s">
        <v>132</v>
      </c>
      <c r="T56" s="148">
        <v>1</v>
      </c>
      <c r="U56" s="148" t="s">
        <v>96</v>
      </c>
    </row>
    <row r="57" spans="1:21" ht="14.25" customHeight="1" x14ac:dyDescent="0.2">
      <c r="A57" s="123"/>
      <c r="B57" s="147"/>
      <c r="C57" s="123"/>
      <c r="D57" s="152" t="s">
        <v>65</v>
      </c>
      <c r="E57" s="123"/>
      <c r="F57" s="562" t="s">
        <v>94</v>
      </c>
      <c r="G57" s="576"/>
      <c r="H57" s="103"/>
      <c r="I57" s="153" t="s">
        <v>136</v>
      </c>
      <c r="J57" s="154">
        <v>2000</v>
      </c>
      <c r="K57" s="103" t="s">
        <v>137</v>
      </c>
      <c r="L57" s="123"/>
      <c r="M57" s="123"/>
      <c r="N57" s="152" t="s">
        <v>65</v>
      </c>
      <c r="O57" s="161">
        <v>1000000</v>
      </c>
      <c r="P57" s="152" t="s">
        <v>74</v>
      </c>
      <c r="Q57" s="147"/>
      <c r="R57" s="103"/>
      <c r="S57" s="153" t="s">
        <v>136</v>
      </c>
      <c r="T57" s="154">
        <v>2000</v>
      </c>
      <c r="U57" s="103" t="s">
        <v>137</v>
      </c>
    </row>
    <row r="58" spans="1:21" ht="14.25" customHeight="1" x14ac:dyDescent="0.2">
      <c r="A58" s="103"/>
      <c r="B58" s="103"/>
      <c r="C58" s="103"/>
      <c r="D58" s="103"/>
      <c r="E58" s="103"/>
      <c r="F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</row>
    <row r="59" spans="1:21" ht="14.25" customHeight="1" x14ac:dyDescent="0.2">
      <c r="A59" s="141"/>
      <c r="B59" s="156">
        <f>(B56*E56*H56+M56*O56*R56/1000000)/2000</f>
        <v>7.3570594993522409</v>
      </c>
      <c r="C59" s="156"/>
      <c r="D59" s="103" t="s">
        <v>138</v>
      </c>
      <c r="E59" s="141" t="s">
        <v>92</v>
      </c>
      <c r="F59" s="111">
        <f>B59*(2000/8760)</f>
        <v>1.6796939496237993</v>
      </c>
      <c r="G59" s="103" t="s">
        <v>139</v>
      </c>
      <c r="L59" s="103" t="s">
        <v>139</v>
      </c>
      <c r="N59" s="103"/>
      <c r="O59" s="103"/>
      <c r="P59" s="103"/>
      <c r="Q59" s="103"/>
      <c r="R59" s="103"/>
      <c r="S59" s="103"/>
      <c r="T59" s="103"/>
      <c r="U59" s="103"/>
    </row>
    <row r="60" spans="1:21" ht="14.25" customHeight="1" x14ac:dyDescent="0.2">
      <c r="A60" s="103"/>
      <c r="B60" s="103"/>
      <c r="C60" s="103"/>
      <c r="D60" s="103"/>
      <c r="E60" s="103"/>
      <c r="F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</row>
    <row r="61" spans="1:21" ht="14.25" customHeight="1" x14ac:dyDescent="0.2">
      <c r="A61" s="103"/>
      <c r="B61" s="103"/>
      <c r="C61" s="103"/>
      <c r="D61" s="103"/>
      <c r="E61" s="103"/>
      <c r="F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</row>
    <row r="62" spans="1:21" ht="14.25" customHeight="1" x14ac:dyDescent="0.2">
      <c r="A62" s="141" t="s">
        <v>147</v>
      </c>
      <c r="B62" s="142">
        <f>B16</f>
        <v>9967062.8399999999</v>
      </c>
      <c r="C62" s="143"/>
      <c r="D62" s="144" t="s">
        <v>129</v>
      </c>
      <c r="E62" s="145">
        <v>0.13800000000000001</v>
      </c>
      <c r="F62" s="146" t="s">
        <v>130</v>
      </c>
      <c r="G62" s="576" t="s">
        <v>131</v>
      </c>
      <c r="H62" s="148">
        <f>C11</f>
        <v>7.7000000000000002E-3</v>
      </c>
      <c r="I62" s="149" t="s">
        <v>132</v>
      </c>
      <c r="J62" s="148">
        <v>1</v>
      </c>
      <c r="K62" s="148" t="s">
        <v>96</v>
      </c>
      <c r="L62" s="150" t="s">
        <v>133</v>
      </c>
      <c r="M62" s="151">
        <f>B17</f>
        <v>4788405149.7800007</v>
      </c>
      <c r="N62" s="144" t="s">
        <v>134</v>
      </c>
      <c r="O62" s="143">
        <v>1020</v>
      </c>
      <c r="P62" s="144" t="s">
        <v>135</v>
      </c>
      <c r="Q62" s="147" t="s">
        <v>131</v>
      </c>
      <c r="R62" s="148">
        <f>B11</f>
        <v>4.2999999999999999E-4</v>
      </c>
      <c r="S62" s="149" t="s">
        <v>132</v>
      </c>
      <c r="T62" s="148">
        <v>1</v>
      </c>
      <c r="U62" s="148" t="s">
        <v>96</v>
      </c>
    </row>
    <row r="63" spans="1:21" ht="14.25" customHeight="1" x14ac:dyDescent="0.2">
      <c r="A63" s="123"/>
      <c r="B63" s="147"/>
      <c r="C63" s="123"/>
      <c r="D63" s="152" t="s">
        <v>65</v>
      </c>
      <c r="E63" s="123"/>
      <c r="F63" s="562" t="s">
        <v>94</v>
      </c>
      <c r="G63" s="576"/>
      <c r="H63" s="103"/>
      <c r="I63" s="153" t="s">
        <v>136</v>
      </c>
      <c r="J63" s="154">
        <v>2000</v>
      </c>
      <c r="K63" s="103" t="s">
        <v>137</v>
      </c>
      <c r="L63" s="123"/>
      <c r="M63" s="123"/>
      <c r="N63" s="152" t="s">
        <v>65</v>
      </c>
      <c r="O63" s="161">
        <v>1000000</v>
      </c>
      <c r="P63" s="152" t="s">
        <v>74</v>
      </c>
      <c r="Q63" s="147"/>
      <c r="R63" s="103"/>
      <c r="S63" s="153" t="s">
        <v>136</v>
      </c>
      <c r="T63" s="154">
        <v>2000</v>
      </c>
      <c r="U63" s="103" t="s">
        <v>137</v>
      </c>
    </row>
    <row r="64" spans="1:21" ht="14.25" customHeight="1" x14ac:dyDescent="0.2">
      <c r="A64" s="103"/>
      <c r="B64" s="103"/>
      <c r="C64" s="103"/>
      <c r="D64" s="103"/>
      <c r="E64" s="103"/>
      <c r="F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</row>
    <row r="65" spans="1:21" ht="14.25" customHeight="1" x14ac:dyDescent="0.2">
      <c r="A65" s="141"/>
      <c r="B65" s="156">
        <f>(B62*E62*H62+M62*O62*R62/1000000)/2000</f>
        <v>6.345597736238755</v>
      </c>
      <c r="C65" s="156"/>
      <c r="D65" s="103" t="s">
        <v>138</v>
      </c>
      <c r="E65" s="141" t="s">
        <v>92</v>
      </c>
      <c r="F65" s="111">
        <f>B65*(2000/8760)</f>
        <v>1.4487666064472042</v>
      </c>
      <c r="G65" s="103" t="s">
        <v>139</v>
      </c>
      <c r="L65" s="103" t="s">
        <v>139</v>
      </c>
      <c r="N65" s="103"/>
      <c r="O65" s="103"/>
      <c r="P65" s="103"/>
      <c r="Q65" s="103"/>
      <c r="R65" s="103"/>
      <c r="S65" s="103"/>
      <c r="T65" s="103"/>
      <c r="U65" s="103"/>
    </row>
    <row r="66" spans="1:21" ht="14.25" customHeight="1" x14ac:dyDescent="0.2">
      <c r="A66" s="103"/>
      <c r="B66" s="103"/>
      <c r="C66" s="103"/>
      <c r="D66" s="103"/>
      <c r="E66" s="103"/>
      <c r="F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</row>
    <row r="67" spans="1:21" ht="14.25" customHeight="1" x14ac:dyDescent="0.2">
      <c r="A67" s="103"/>
      <c r="B67" s="103"/>
      <c r="C67" s="103"/>
      <c r="D67" s="103"/>
      <c r="E67" s="103"/>
      <c r="F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</row>
    <row r="68" spans="1:21" ht="14.25" customHeight="1" x14ac:dyDescent="0.2">
      <c r="A68" s="141" t="s">
        <v>148</v>
      </c>
      <c r="B68" s="142">
        <f>B16</f>
        <v>9967062.8399999999</v>
      </c>
      <c r="C68" s="143"/>
      <c r="D68" s="144" t="s">
        <v>129</v>
      </c>
      <c r="E68" s="145">
        <v>0.13800000000000001</v>
      </c>
      <c r="F68" s="146" t="s">
        <v>130</v>
      </c>
      <c r="G68" s="576" t="s">
        <v>131</v>
      </c>
      <c r="H68" s="163">
        <f>C12</f>
        <v>9.0000000000000002E-6</v>
      </c>
      <c r="I68" s="149" t="s">
        <v>132</v>
      </c>
      <c r="J68" s="148">
        <v>1</v>
      </c>
      <c r="K68" s="148" t="s">
        <v>96</v>
      </c>
      <c r="L68" s="150" t="s">
        <v>133</v>
      </c>
      <c r="M68" s="151">
        <f>B17</f>
        <v>4788405149.7800007</v>
      </c>
      <c r="N68" s="144" t="s">
        <v>134</v>
      </c>
      <c r="O68" s="143">
        <v>1020</v>
      </c>
      <c r="P68" s="144" t="s">
        <v>135</v>
      </c>
      <c r="Q68" s="147" t="s">
        <v>131</v>
      </c>
      <c r="R68" s="148">
        <f>B12</f>
        <v>0</v>
      </c>
      <c r="S68" s="149" t="s">
        <v>132</v>
      </c>
      <c r="T68" s="148">
        <v>1</v>
      </c>
      <c r="U68" s="148" t="s">
        <v>96</v>
      </c>
    </row>
    <row r="69" spans="1:21" ht="14.25" customHeight="1" x14ac:dyDescent="0.2">
      <c r="A69" s="123"/>
      <c r="B69" s="147"/>
      <c r="C69" s="123"/>
      <c r="D69" s="152" t="s">
        <v>65</v>
      </c>
      <c r="E69" s="123"/>
      <c r="F69" s="562" t="s">
        <v>94</v>
      </c>
      <c r="G69" s="576"/>
      <c r="H69" s="103"/>
      <c r="I69" s="153" t="s">
        <v>136</v>
      </c>
      <c r="J69" s="154">
        <v>2000</v>
      </c>
      <c r="K69" s="103" t="s">
        <v>137</v>
      </c>
      <c r="L69" s="123"/>
      <c r="M69" s="123"/>
      <c r="N69" s="152" t="s">
        <v>65</v>
      </c>
      <c r="O69" s="161">
        <v>1000000</v>
      </c>
      <c r="P69" s="152" t="s">
        <v>74</v>
      </c>
      <c r="Q69" s="147"/>
      <c r="R69" s="103"/>
      <c r="S69" s="153" t="s">
        <v>136</v>
      </c>
      <c r="T69" s="154">
        <v>2000</v>
      </c>
      <c r="U69" s="103" t="s">
        <v>137</v>
      </c>
    </row>
    <row r="70" spans="1:21" ht="14.25" customHeight="1" x14ac:dyDescent="0.2">
      <c r="A70" s="10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</row>
    <row r="71" spans="1:21" ht="14.25" customHeight="1" x14ac:dyDescent="0.2">
      <c r="A71" s="141"/>
      <c r="B71" s="156">
        <f>(B68*E68*H68+M68*O68*R68/1000000)/2000</f>
        <v>6.1895460236400012E-3</v>
      </c>
      <c r="C71" s="156"/>
      <c r="D71" s="103" t="s">
        <v>138</v>
      </c>
      <c r="E71" s="141" t="s">
        <v>92</v>
      </c>
      <c r="F71" s="111">
        <f>B71*(2000/8760)</f>
        <v>1.4131383615616441E-3</v>
      </c>
      <c r="G71" s="103" t="s">
        <v>139</v>
      </c>
      <c r="I71" s="103"/>
      <c r="J71" s="103"/>
      <c r="K71" s="103"/>
      <c r="L71" s="103"/>
      <c r="M71" s="103"/>
      <c r="N71" s="103"/>
      <c r="O71" s="103"/>
      <c r="P71" s="103"/>
    </row>
    <row r="74" spans="1:21" ht="14.25" customHeight="1" x14ac:dyDescent="0.2">
      <c r="A74" s="141" t="s">
        <v>149</v>
      </c>
      <c r="B74" s="142">
        <f>B16</f>
        <v>9967062.8399999999</v>
      </c>
      <c r="C74" s="143"/>
      <c r="D74" s="144" t="s">
        <v>129</v>
      </c>
      <c r="E74" s="164">
        <f>W11</f>
        <v>22.578420600240001</v>
      </c>
      <c r="F74" s="146" t="s">
        <v>137</v>
      </c>
      <c r="G74" s="576" t="s">
        <v>131</v>
      </c>
      <c r="H74" s="148">
        <v>1</v>
      </c>
      <c r="I74" s="148" t="s">
        <v>96</v>
      </c>
      <c r="J74" s="150" t="s">
        <v>133</v>
      </c>
      <c r="M74" s="151">
        <f>B17</f>
        <v>4788405149.7800007</v>
      </c>
      <c r="N74" s="144" t="s">
        <v>134</v>
      </c>
      <c r="O74" s="165">
        <f>W12</f>
        <v>0.12049378638965323</v>
      </c>
      <c r="P74" s="144" t="s">
        <v>137</v>
      </c>
      <c r="Q74" s="147" t="s">
        <v>131</v>
      </c>
      <c r="R74" s="148">
        <v>1</v>
      </c>
      <c r="S74" s="148" t="s">
        <v>96</v>
      </c>
    </row>
    <row r="75" spans="1:21" ht="14.25" customHeight="1" x14ac:dyDescent="0.2">
      <c r="A75" s="123"/>
      <c r="B75" s="147"/>
      <c r="C75" s="123"/>
      <c r="D75" s="152" t="s">
        <v>65</v>
      </c>
      <c r="E75" s="123"/>
      <c r="F75" s="562" t="s">
        <v>94</v>
      </c>
      <c r="G75" s="576"/>
      <c r="H75" s="154">
        <v>2000</v>
      </c>
      <c r="I75" s="103" t="s">
        <v>137</v>
      </c>
      <c r="J75" s="123"/>
      <c r="M75" s="123"/>
      <c r="N75" s="152" t="s">
        <v>65</v>
      </c>
      <c r="O75" s="161"/>
      <c r="P75" s="152" t="s">
        <v>74</v>
      </c>
      <c r="Q75" s="147"/>
      <c r="R75" s="154">
        <v>2000</v>
      </c>
      <c r="S75" s="103" t="s">
        <v>137</v>
      </c>
    </row>
    <row r="76" spans="1:21" ht="14.25" customHeight="1" x14ac:dyDescent="0.2">
      <c r="A76" s="103"/>
      <c r="B76" s="103"/>
      <c r="C76" s="103"/>
      <c r="D76" s="103"/>
      <c r="E76" s="103"/>
      <c r="F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</row>
    <row r="77" spans="1:21" ht="14.25" customHeight="1" x14ac:dyDescent="0.2">
      <c r="A77" s="141"/>
      <c r="B77" s="156">
        <f>(B74*E74+M74*O74)/H75</f>
        <v>401006.80210762471</v>
      </c>
      <c r="C77" s="156"/>
      <c r="D77" s="103" t="s">
        <v>138</v>
      </c>
      <c r="E77" s="141" t="s">
        <v>92</v>
      </c>
      <c r="F77" s="111">
        <f>B77*(2000/8760)</f>
        <v>91554.06440813349</v>
      </c>
      <c r="G77" s="103" t="s">
        <v>139</v>
      </c>
      <c r="L77" s="103"/>
      <c r="N77" s="103"/>
      <c r="O77" s="103"/>
      <c r="P77" s="103"/>
      <c r="Q77" s="103"/>
      <c r="R77" s="103"/>
      <c r="S77" s="103"/>
      <c r="T77" s="103"/>
      <c r="U77" s="103"/>
    </row>
    <row r="78" spans="1:21" ht="14.25" customHeight="1" x14ac:dyDescent="0.2">
      <c r="A78" s="103"/>
      <c r="B78" s="103"/>
      <c r="C78" s="103"/>
      <c r="D78" s="103"/>
      <c r="E78" s="103"/>
      <c r="F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</row>
    <row r="79" spans="1:21" ht="14.25" customHeight="1" x14ac:dyDescent="0.2">
      <c r="A79" s="103"/>
      <c r="B79" s="103"/>
      <c r="C79" s="103"/>
      <c r="D79" s="103"/>
      <c r="E79" s="103"/>
      <c r="F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</row>
    <row r="80" spans="1:21" ht="14.25" customHeight="1" x14ac:dyDescent="0.2">
      <c r="A80" s="84"/>
      <c r="B80" s="79" t="s">
        <v>150</v>
      </c>
      <c r="C80" s="79"/>
      <c r="D80" s="79"/>
      <c r="E80" s="79"/>
      <c r="F80" s="79"/>
      <c r="G80" s="79"/>
      <c r="H80" s="79"/>
      <c r="I80" s="79"/>
      <c r="J80" s="79"/>
      <c r="K80" s="84"/>
      <c r="L80" s="84"/>
      <c r="M80" s="84"/>
      <c r="N80" s="84"/>
      <c r="O80" s="84"/>
      <c r="P80" s="84"/>
    </row>
    <row r="81" spans="2:10" ht="14.25" customHeight="1" x14ac:dyDescent="0.2">
      <c r="B81" s="79" t="s">
        <v>151</v>
      </c>
      <c r="C81" s="79"/>
      <c r="D81" s="79"/>
      <c r="E81" s="79"/>
      <c r="F81" s="79"/>
      <c r="G81" s="79"/>
      <c r="H81" s="79"/>
      <c r="I81" s="79"/>
      <c r="J81" s="79"/>
    </row>
    <row r="82" spans="2:10" ht="14.25" customHeight="1" x14ac:dyDescent="0.2">
      <c r="B82" s="79" t="s">
        <v>152</v>
      </c>
      <c r="C82" s="79"/>
      <c r="D82" s="79"/>
      <c r="E82" s="79"/>
      <c r="F82" s="79"/>
      <c r="G82" s="79"/>
      <c r="H82" s="79"/>
      <c r="I82" s="79"/>
      <c r="J82" s="79"/>
    </row>
    <row r="83" spans="2:10" ht="14.25" customHeight="1" x14ac:dyDescent="0.2">
      <c r="B83" s="79" t="s">
        <v>153</v>
      </c>
      <c r="C83" s="79"/>
      <c r="D83" s="84"/>
      <c r="E83" s="84"/>
      <c r="F83" s="84"/>
      <c r="G83" s="84"/>
      <c r="H83" s="84"/>
      <c r="I83" s="84"/>
      <c r="J83" s="84"/>
    </row>
  </sheetData>
  <mergeCells count="13">
    <mergeCell ref="G62:G63"/>
    <mergeCell ref="G68:G69"/>
    <mergeCell ref="G74:G75"/>
    <mergeCell ref="G32:G33"/>
    <mergeCell ref="G38:G39"/>
    <mergeCell ref="G44:G45"/>
    <mergeCell ref="G50:G51"/>
    <mergeCell ref="G56:G57"/>
    <mergeCell ref="A1:P1"/>
    <mergeCell ref="F6:N6"/>
    <mergeCell ref="G20:G21"/>
    <mergeCell ref="Q20:Q21"/>
    <mergeCell ref="G26:G27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C56"/>
  <sheetViews>
    <sheetView zoomScaleNormal="100" workbookViewId="0">
      <selection activeCell="L24" sqref="L24"/>
    </sheetView>
  </sheetViews>
  <sheetFormatPr defaultColWidth="8.85546875" defaultRowHeight="15" x14ac:dyDescent="0.25"/>
  <cols>
    <col min="1" max="1" width="10.5703125" style="24" customWidth="1"/>
    <col min="2" max="2" width="14.5703125" style="24" customWidth="1"/>
    <col min="3" max="3" width="14.42578125" style="24" customWidth="1"/>
    <col min="4" max="4" width="17.5703125" style="24" customWidth="1"/>
    <col min="5" max="5" width="16.28515625" style="24" customWidth="1"/>
    <col min="6" max="6" width="18.28515625" style="24" customWidth="1"/>
    <col min="7" max="7" width="9.42578125" style="24" customWidth="1"/>
    <col min="8" max="8" width="14.28515625" style="24" customWidth="1"/>
    <col min="9" max="9" width="13.140625" style="24" customWidth="1"/>
    <col min="10" max="10" width="12.85546875" style="24" customWidth="1"/>
    <col min="11" max="16384" width="8.85546875" style="24"/>
  </cols>
  <sheetData>
    <row r="2" spans="1:21" ht="14.25" customHeight="1" x14ac:dyDescent="0.25">
      <c r="A2" s="565" t="s">
        <v>206</v>
      </c>
      <c r="B2" s="565"/>
      <c r="C2" s="565"/>
      <c r="D2" s="565"/>
      <c r="E2" s="565"/>
      <c r="F2" s="565"/>
      <c r="H2" s="577" t="s">
        <v>207</v>
      </c>
      <c r="I2" s="577"/>
    </row>
    <row r="3" spans="1:21" ht="14.25" customHeight="1" x14ac:dyDescent="0.25">
      <c r="A3" s="577" t="s">
        <v>65</v>
      </c>
      <c r="B3" s="582" t="s">
        <v>64</v>
      </c>
      <c r="C3" s="582"/>
      <c r="D3" s="583" t="s">
        <v>62</v>
      </c>
      <c r="E3" s="583"/>
      <c r="F3" s="584" t="s">
        <v>208</v>
      </c>
      <c r="H3" s="577"/>
      <c r="I3" s="577"/>
    </row>
    <row r="4" spans="1:21" ht="14.25" customHeight="1" x14ac:dyDescent="0.25">
      <c r="A4" s="577"/>
      <c r="B4" s="29" t="s">
        <v>209</v>
      </c>
      <c r="C4" s="214" t="s">
        <v>210</v>
      </c>
      <c r="D4" s="215" t="s">
        <v>209</v>
      </c>
      <c r="E4" s="214" t="s">
        <v>210</v>
      </c>
      <c r="F4" s="584"/>
      <c r="H4" s="25" t="s">
        <v>209</v>
      </c>
      <c r="I4" s="25" t="s">
        <v>210</v>
      </c>
      <c r="T4" s="556"/>
      <c r="U4" s="556"/>
    </row>
    <row r="5" spans="1:21" ht="14.25" customHeight="1" x14ac:dyDescent="0.25">
      <c r="A5" s="33">
        <v>45658</v>
      </c>
      <c r="B5" s="216">
        <v>128445.58</v>
      </c>
      <c r="C5" s="217"/>
      <c r="D5" s="218">
        <f t="shared" ref="D5:D16" si="0">SUM(B5*42)</f>
        <v>5394714.3600000003</v>
      </c>
      <c r="E5" s="219">
        <f t="shared" ref="E5:E16" si="1">SUM(C5*42)</f>
        <v>0</v>
      </c>
      <c r="F5" s="220">
        <f t="shared" ref="F5:F17" si="2">D5+E5</f>
        <v>5394714.3600000003</v>
      </c>
      <c r="H5" s="57">
        <v>0.49</v>
      </c>
      <c r="I5" s="221">
        <v>0.49</v>
      </c>
      <c r="T5" s="168"/>
      <c r="U5" s="168"/>
    </row>
    <row r="6" spans="1:21" ht="14.25" customHeight="1" x14ac:dyDescent="0.25">
      <c r="A6" s="39">
        <v>45689</v>
      </c>
      <c r="B6" s="222">
        <v>138619.10999999999</v>
      </c>
      <c r="C6" s="223">
        <v>2465.31</v>
      </c>
      <c r="D6" s="224">
        <f t="shared" si="0"/>
        <v>5822002.6199999992</v>
      </c>
      <c r="E6" s="225">
        <f t="shared" si="1"/>
        <v>103543.02</v>
      </c>
      <c r="F6" s="226">
        <f t="shared" si="2"/>
        <v>5925545.6399999987</v>
      </c>
      <c r="H6" s="61">
        <v>0.49</v>
      </c>
      <c r="I6" s="227">
        <v>0.49</v>
      </c>
      <c r="T6" s="168"/>
      <c r="U6" s="168"/>
    </row>
    <row r="7" spans="1:21" ht="14.25" customHeight="1" x14ac:dyDescent="0.25">
      <c r="A7" s="39">
        <v>45717</v>
      </c>
      <c r="B7" s="222">
        <v>0</v>
      </c>
      <c r="C7" s="228">
        <v>0</v>
      </c>
      <c r="D7" s="229">
        <f t="shared" si="0"/>
        <v>0</v>
      </c>
      <c r="E7" s="230">
        <f t="shared" si="1"/>
        <v>0</v>
      </c>
      <c r="F7" s="226">
        <f t="shared" si="2"/>
        <v>0</v>
      </c>
      <c r="H7" s="61">
        <v>0.49</v>
      </c>
      <c r="I7" s="227">
        <v>0.49</v>
      </c>
      <c r="T7" s="168"/>
      <c r="U7" s="168"/>
    </row>
    <row r="8" spans="1:21" ht="14.25" customHeight="1" x14ac:dyDescent="0.25">
      <c r="A8" s="39">
        <v>45748</v>
      </c>
      <c r="B8" s="222">
        <v>0</v>
      </c>
      <c r="C8" s="228">
        <v>0</v>
      </c>
      <c r="D8" s="229">
        <f t="shared" si="0"/>
        <v>0</v>
      </c>
      <c r="E8" s="230">
        <f t="shared" si="1"/>
        <v>0</v>
      </c>
      <c r="F8" s="226">
        <f t="shared" si="2"/>
        <v>0</v>
      </c>
      <c r="H8" s="61">
        <v>0.49</v>
      </c>
      <c r="I8" s="227">
        <v>0.49</v>
      </c>
      <c r="T8" s="168"/>
      <c r="U8" s="168"/>
    </row>
    <row r="9" spans="1:21" ht="14.25" customHeight="1" x14ac:dyDescent="0.25">
      <c r="A9" s="39">
        <v>45778</v>
      </c>
      <c r="B9" s="222">
        <v>0</v>
      </c>
      <c r="C9" s="228">
        <v>0</v>
      </c>
      <c r="D9" s="229">
        <f t="shared" si="0"/>
        <v>0</v>
      </c>
      <c r="E9" s="230">
        <f t="shared" si="1"/>
        <v>0</v>
      </c>
      <c r="F9" s="226">
        <f t="shared" si="2"/>
        <v>0</v>
      </c>
      <c r="H9" s="61">
        <v>0.49</v>
      </c>
      <c r="I9" s="227">
        <v>0.49</v>
      </c>
      <c r="T9" s="168"/>
      <c r="U9" s="168"/>
    </row>
    <row r="10" spans="1:21" ht="14.25" customHeight="1" x14ac:dyDescent="0.25">
      <c r="A10" s="39">
        <v>45809</v>
      </c>
      <c r="B10" s="222">
        <v>0</v>
      </c>
      <c r="C10" s="228">
        <v>80496.600000000006</v>
      </c>
      <c r="D10" s="229">
        <f t="shared" si="0"/>
        <v>0</v>
      </c>
      <c r="E10" s="230">
        <f t="shared" si="1"/>
        <v>3380857.2</v>
      </c>
      <c r="F10" s="226">
        <f t="shared" si="2"/>
        <v>3380857.2</v>
      </c>
      <c r="H10" s="61">
        <v>0.49</v>
      </c>
      <c r="I10" s="227">
        <v>0.49</v>
      </c>
      <c r="T10" s="168"/>
      <c r="U10" s="168"/>
    </row>
    <row r="11" spans="1:21" ht="14.25" customHeight="1" x14ac:dyDescent="0.25">
      <c r="A11" s="39">
        <v>45839</v>
      </c>
      <c r="B11" s="222">
        <v>0</v>
      </c>
      <c r="C11" s="228">
        <v>254304.08</v>
      </c>
      <c r="D11" s="229">
        <f t="shared" si="0"/>
        <v>0</v>
      </c>
      <c r="E11" s="230">
        <f t="shared" si="1"/>
        <v>10680771.359999999</v>
      </c>
      <c r="F11" s="226">
        <f t="shared" si="2"/>
        <v>10680771.359999999</v>
      </c>
      <c r="H11" s="40">
        <v>0.49</v>
      </c>
      <c r="I11" s="45">
        <v>0.49</v>
      </c>
      <c r="T11" s="168"/>
      <c r="U11" s="168"/>
    </row>
    <row r="12" spans="1:21" ht="14.25" customHeight="1" x14ac:dyDescent="0.25">
      <c r="A12" s="39">
        <v>45870</v>
      </c>
      <c r="B12" s="222">
        <v>0</v>
      </c>
      <c r="C12" s="228">
        <v>257735.63</v>
      </c>
      <c r="D12" s="229">
        <f t="shared" si="0"/>
        <v>0</v>
      </c>
      <c r="E12" s="230">
        <f t="shared" si="1"/>
        <v>10824896.460000001</v>
      </c>
      <c r="F12" s="226">
        <f t="shared" si="2"/>
        <v>10824896.460000001</v>
      </c>
      <c r="H12" s="61">
        <v>0.49</v>
      </c>
      <c r="I12" s="227">
        <v>0.49</v>
      </c>
      <c r="L12" s="59"/>
      <c r="T12" s="168"/>
      <c r="U12" s="168"/>
    </row>
    <row r="13" spans="1:21" ht="14.25" customHeight="1" x14ac:dyDescent="0.25">
      <c r="A13" s="39">
        <v>45901</v>
      </c>
      <c r="B13" s="222">
        <v>0</v>
      </c>
      <c r="C13" s="228">
        <v>311396.12</v>
      </c>
      <c r="D13" s="229">
        <f t="shared" si="0"/>
        <v>0</v>
      </c>
      <c r="E13" s="230">
        <f t="shared" si="1"/>
        <v>13078637.039999999</v>
      </c>
      <c r="F13" s="226">
        <f t="shared" si="2"/>
        <v>13078637.039999999</v>
      </c>
      <c r="H13" s="61">
        <v>0.49</v>
      </c>
      <c r="I13" s="227">
        <v>0.49</v>
      </c>
      <c r="L13" s="59"/>
      <c r="T13" s="168"/>
      <c r="U13" s="168"/>
    </row>
    <row r="14" spans="1:21" ht="14.25" customHeight="1" x14ac:dyDescent="0.25">
      <c r="A14" s="39">
        <v>45931</v>
      </c>
      <c r="B14" s="222">
        <v>0</v>
      </c>
      <c r="C14" s="228">
        <v>271547.44</v>
      </c>
      <c r="D14" s="229">
        <f t="shared" si="0"/>
        <v>0</v>
      </c>
      <c r="E14" s="230">
        <f t="shared" si="1"/>
        <v>11404992.48</v>
      </c>
      <c r="F14" s="226">
        <f t="shared" si="2"/>
        <v>11404992.48</v>
      </c>
      <c r="H14" s="61">
        <v>0.48</v>
      </c>
      <c r="I14" s="227">
        <v>0.48</v>
      </c>
      <c r="L14" s="59"/>
      <c r="T14" s="168"/>
      <c r="U14" s="168"/>
    </row>
    <row r="15" spans="1:21" ht="14.25" customHeight="1" x14ac:dyDescent="0.25">
      <c r="A15" s="39">
        <v>45962</v>
      </c>
      <c r="B15" s="222">
        <v>0</v>
      </c>
      <c r="C15" s="228">
        <v>279961.08</v>
      </c>
      <c r="D15" s="229">
        <f t="shared" si="0"/>
        <v>0</v>
      </c>
      <c r="E15" s="230">
        <f t="shared" si="1"/>
        <v>11758365.360000001</v>
      </c>
      <c r="F15" s="226">
        <f t="shared" si="2"/>
        <v>11758365.360000001</v>
      </c>
      <c r="H15" s="61">
        <v>0.47</v>
      </c>
      <c r="I15" s="227">
        <v>0.47</v>
      </c>
      <c r="L15" s="59"/>
      <c r="T15" s="168"/>
      <c r="U15" s="68"/>
    </row>
    <row r="16" spans="1:21" ht="14.25" customHeight="1" x14ac:dyDescent="0.25">
      <c r="A16" s="46">
        <v>45992</v>
      </c>
      <c r="B16" s="231">
        <v>0</v>
      </c>
      <c r="C16" s="232">
        <v>173368.59</v>
      </c>
      <c r="D16" s="233">
        <f t="shared" si="0"/>
        <v>0</v>
      </c>
      <c r="E16" s="234">
        <f t="shared" si="1"/>
        <v>7281480.7800000003</v>
      </c>
      <c r="F16" s="226">
        <f t="shared" si="2"/>
        <v>7281480.7800000003</v>
      </c>
      <c r="H16" s="64">
        <v>0.45</v>
      </c>
      <c r="I16" s="235">
        <v>0.45</v>
      </c>
      <c r="L16" s="59"/>
      <c r="T16" s="68"/>
    </row>
    <row r="17" spans="1:29" ht="14.25" customHeight="1" x14ac:dyDescent="0.25">
      <c r="A17" s="25" t="s">
        <v>26</v>
      </c>
      <c r="B17" s="236">
        <f>SUM(B5:B16)</f>
        <v>267064.69</v>
      </c>
      <c r="C17" s="236">
        <f>SUM(C5:C16)</f>
        <v>1631274.85</v>
      </c>
      <c r="D17" s="236">
        <f>SUM(D5:D16)</f>
        <v>11216716.98</v>
      </c>
      <c r="E17" s="236">
        <f>SUM(E5:E16)</f>
        <v>68513543.700000003</v>
      </c>
      <c r="F17" s="237">
        <f t="shared" si="2"/>
        <v>79730260.680000007</v>
      </c>
      <c r="H17" s="238">
        <f>AVERAGE(H5:H16)</f>
        <v>0.48416666666666669</v>
      </c>
      <c r="I17" s="238">
        <f>AVERAGE(I5:I16)</f>
        <v>0.48416666666666669</v>
      </c>
      <c r="J17" s="239" t="s">
        <v>211</v>
      </c>
      <c r="L17" s="55"/>
    </row>
    <row r="18" spans="1:29" ht="14.25" customHeight="1" x14ac:dyDescent="0.25">
      <c r="F18" s="177">
        <f>SUM(F5:F16)</f>
        <v>79730260.679999992</v>
      </c>
      <c r="H18" s="240"/>
      <c r="I18" s="241"/>
      <c r="J18" s="68"/>
    </row>
    <row r="20" spans="1:29" ht="14.25" customHeight="1" x14ac:dyDescent="0.25">
      <c r="A20" s="565" t="s">
        <v>212</v>
      </c>
      <c r="B20" s="565"/>
      <c r="C20" s="565"/>
      <c r="D20" s="565"/>
      <c r="E20" s="565"/>
      <c r="F20" s="565"/>
      <c r="G20" s="565"/>
      <c r="H20" s="565"/>
      <c r="I20" s="565"/>
      <c r="J20" s="565"/>
      <c r="K20" s="565"/>
      <c r="L20" s="565"/>
      <c r="M20" s="565"/>
      <c r="N20" s="565"/>
      <c r="O20" s="565"/>
      <c r="P20" s="565"/>
      <c r="Q20" s="565"/>
      <c r="R20" s="565"/>
    </row>
    <row r="21" spans="1:29" ht="14.25" customHeight="1" x14ac:dyDescent="0.25">
      <c r="A21" s="569" t="s">
        <v>62</v>
      </c>
      <c r="B21" s="569"/>
      <c r="C21" s="569"/>
      <c r="D21" s="569"/>
      <c r="E21" s="569"/>
      <c r="F21" s="569"/>
      <c r="G21" s="569"/>
      <c r="H21" s="569"/>
      <c r="I21" s="569"/>
      <c r="J21" s="569"/>
      <c r="K21" s="565" t="s">
        <v>63</v>
      </c>
      <c r="L21" s="565"/>
      <c r="M21" s="565"/>
      <c r="N21" s="565"/>
      <c r="O21" s="565"/>
      <c r="P21" s="565"/>
      <c r="Q21" s="565"/>
      <c r="R21" s="565"/>
      <c r="V21" s="565" t="s">
        <v>213</v>
      </c>
      <c r="W21" s="565"/>
      <c r="X21" s="565"/>
      <c r="Y21" s="565"/>
      <c r="Z21" s="565"/>
      <c r="AA21" s="565"/>
      <c r="AB21" s="565"/>
      <c r="AC21" s="565"/>
    </row>
    <row r="22" spans="1:29" ht="14.25" customHeight="1" x14ac:dyDescent="0.25">
      <c r="A22" s="242" t="s">
        <v>65</v>
      </c>
      <c r="B22" s="243" t="s">
        <v>214</v>
      </c>
      <c r="C22" s="244" t="s">
        <v>215</v>
      </c>
      <c r="D22" s="244" t="s">
        <v>216</v>
      </c>
      <c r="E22" s="244" t="s">
        <v>217</v>
      </c>
      <c r="F22" s="245" t="s">
        <v>218</v>
      </c>
      <c r="G22" s="28"/>
      <c r="H22" s="29" t="s">
        <v>219</v>
      </c>
      <c r="I22" s="246" t="s">
        <v>220</v>
      </c>
      <c r="J22" s="30" t="s">
        <v>221</v>
      </c>
      <c r="K22" s="555" t="s">
        <v>214</v>
      </c>
      <c r="L22" s="246" t="s">
        <v>215</v>
      </c>
      <c r="M22" s="246" t="s">
        <v>216</v>
      </c>
      <c r="N22" s="246" t="s">
        <v>217</v>
      </c>
      <c r="O22" s="246" t="s">
        <v>218</v>
      </c>
      <c r="P22" s="246" t="s">
        <v>219</v>
      </c>
      <c r="Q22" s="246" t="s">
        <v>220</v>
      </c>
      <c r="R22" s="32" t="s">
        <v>221</v>
      </c>
      <c r="V22" s="555" t="s">
        <v>214</v>
      </c>
      <c r="W22" s="246" t="s">
        <v>215</v>
      </c>
      <c r="X22" s="246" t="s">
        <v>216</v>
      </c>
      <c r="Y22" s="246" t="s">
        <v>217</v>
      </c>
      <c r="Z22" s="246" t="s">
        <v>218</v>
      </c>
      <c r="AA22" s="246" t="s">
        <v>219</v>
      </c>
      <c r="AB22" s="246" t="s">
        <v>220</v>
      </c>
      <c r="AC22" s="32" t="s">
        <v>221</v>
      </c>
    </row>
    <row r="23" spans="1:29" ht="14.25" customHeight="1" x14ac:dyDescent="0.25">
      <c r="A23" s="33">
        <v>45658</v>
      </c>
      <c r="B23" s="247">
        <v>1216712</v>
      </c>
      <c r="C23" s="248">
        <v>768329</v>
      </c>
      <c r="D23" s="248">
        <v>0</v>
      </c>
      <c r="E23" s="248">
        <v>876861</v>
      </c>
      <c r="F23" s="249">
        <v>0</v>
      </c>
      <c r="G23" s="33">
        <v>45658</v>
      </c>
      <c r="H23" s="250">
        <v>0</v>
      </c>
      <c r="I23" s="248">
        <v>0</v>
      </c>
      <c r="J23" s="251">
        <v>60702</v>
      </c>
      <c r="K23" s="252">
        <v>1E-3</v>
      </c>
      <c r="L23" s="253">
        <v>1E-3</v>
      </c>
      <c r="M23" s="253">
        <v>1E-3</v>
      </c>
      <c r="N23" s="253">
        <v>1E-3</v>
      </c>
      <c r="O23" s="253">
        <v>1E-3</v>
      </c>
      <c r="P23" s="254">
        <v>1E-3</v>
      </c>
      <c r="Q23" s="253">
        <v>1E-3</v>
      </c>
      <c r="R23" s="255">
        <v>1E-3</v>
      </c>
      <c r="V23" s="256">
        <v>3.8999999999999998E-3</v>
      </c>
      <c r="W23" s="257">
        <v>3.8999999999999998E-3</v>
      </c>
      <c r="X23" s="257">
        <v>3.8999999999999998E-3</v>
      </c>
      <c r="Y23" s="257">
        <v>3.8999999999999998E-3</v>
      </c>
      <c r="Z23" s="257">
        <v>3.8999999999999998E-3</v>
      </c>
      <c r="AA23" s="257">
        <v>0</v>
      </c>
      <c r="AB23" s="257">
        <v>3.8999999999999998E-3</v>
      </c>
      <c r="AC23" s="258">
        <v>0</v>
      </c>
    </row>
    <row r="24" spans="1:29" ht="14.25" customHeight="1" x14ac:dyDescent="0.25">
      <c r="A24" s="39">
        <v>45689</v>
      </c>
      <c r="B24" s="259">
        <v>514000</v>
      </c>
      <c r="C24" s="260">
        <v>908875</v>
      </c>
      <c r="D24" s="260">
        <v>0</v>
      </c>
      <c r="E24" s="260">
        <v>788097</v>
      </c>
      <c r="F24" s="261">
        <v>0</v>
      </c>
      <c r="G24" s="39">
        <v>45689</v>
      </c>
      <c r="H24" s="262">
        <v>0</v>
      </c>
      <c r="I24" s="260">
        <v>0</v>
      </c>
      <c r="J24" s="263">
        <v>0</v>
      </c>
      <c r="K24" s="264">
        <v>1E-3</v>
      </c>
      <c r="L24" s="265">
        <v>1E-3</v>
      </c>
      <c r="M24" s="265">
        <v>1E-3</v>
      </c>
      <c r="N24" s="265">
        <v>1E-3</v>
      </c>
      <c r="O24" s="265">
        <v>1E-3</v>
      </c>
      <c r="P24" s="266">
        <v>1E-3</v>
      </c>
      <c r="Q24" s="265">
        <v>1E-3</v>
      </c>
      <c r="R24" s="267">
        <v>1E-3</v>
      </c>
      <c r="V24" s="268">
        <v>4.4803387457726601E-3</v>
      </c>
      <c r="W24" s="269">
        <v>4.4803387457726601E-3</v>
      </c>
      <c r="X24" s="269">
        <v>4.1487674298897898E-3</v>
      </c>
      <c r="Y24" s="269">
        <v>4.4988308912964703E-3</v>
      </c>
      <c r="Z24" s="269">
        <v>4.3206425724684099E-3</v>
      </c>
      <c r="AA24" s="269">
        <v>0</v>
      </c>
      <c r="AB24" s="269">
        <v>4.5345684973462598E-3</v>
      </c>
      <c r="AC24" s="270">
        <v>0</v>
      </c>
    </row>
    <row r="25" spans="1:29" ht="14.25" customHeight="1" x14ac:dyDescent="0.25">
      <c r="A25" s="39">
        <v>45717</v>
      </c>
      <c r="B25" s="259">
        <v>368405</v>
      </c>
      <c r="C25" s="260">
        <v>1546590</v>
      </c>
      <c r="D25" s="260">
        <v>0</v>
      </c>
      <c r="E25" s="260">
        <v>1303328</v>
      </c>
      <c r="F25" s="261">
        <v>0</v>
      </c>
      <c r="G25" s="39">
        <v>45717</v>
      </c>
      <c r="H25" s="262">
        <v>0</v>
      </c>
      <c r="I25" s="260">
        <v>0</v>
      </c>
      <c r="J25" s="263">
        <v>0</v>
      </c>
      <c r="K25" s="264">
        <v>1E-3</v>
      </c>
      <c r="L25" s="265">
        <v>1E-3</v>
      </c>
      <c r="M25" s="265">
        <v>1E-3</v>
      </c>
      <c r="N25" s="265">
        <v>1E-3</v>
      </c>
      <c r="O25" s="265">
        <v>1E-3</v>
      </c>
      <c r="P25" s="266">
        <v>1E-3</v>
      </c>
      <c r="Q25" s="265">
        <v>1E-3</v>
      </c>
      <c r="R25" s="267">
        <v>1E-3</v>
      </c>
      <c r="V25" s="268">
        <v>4.4909213443380998E-3</v>
      </c>
      <c r="W25" s="269">
        <v>4.4822349298402602E-3</v>
      </c>
      <c r="X25" s="269">
        <v>0</v>
      </c>
      <c r="Y25" s="269">
        <v>4.6234638499112598E-3</v>
      </c>
      <c r="Z25" s="269">
        <v>4.4822349298402602E-3</v>
      </c>
      <c r="AA25" s="269">
        <v>0</v>
      </c>
      <c r="AB25" s="269">
        <v>4.4822349298402602E-3</v>
      </c>
      <c r="AC25" s="270">
        <v>4.2703915497337699E-3</v>
      </c>
    </row>
    <row r="26" spans="1:29" ht="14.25" customHeight="1" x14ac:dyDescent="0.25">
      <c r="A26" s="39">
        <v>45748</v>
      </c>
      <c r="B26" s="259">
        <v>1905203</v>
      </c>
      <c r="C26" s="260">
        <v>1681733</v>
      </c>
      <c r="D26" s="260">
        <v>0</v>
      </c>
      <c r="E26" s="260">
        <v>1720640</v>
      </c>
      <c r="F26" s="261">
        <v>0</v>
      </c>
      <c r="G26" s="39">
        <v>45748</v>
      </c>
      <c r="H26" s="262">
        <v>0</v>
      </c>
      <c r="I26" s="260">
        <v>0</v>
      </c>
      <c r="J26" s="263">
        <v>0</v>
      </c>
      <c r="K26" s="264">
        <v>1E-3</v>
      </c>
      <c r="L26" s="265">
        <v>1E-3</v>
      </c>
      <c r="M26" s="265">
        <v>1E-3</v>
      </c>
      <c r="N26" s="265">
        <v>1E-3</v>
      </c>
      <c r="O26" s="265">
        <v>1E-3</v>
      </c>
      <c r="P26" s="266">
        <v>1E-3</v>
      </c>
      <c r="Q26" s="265">
        <v>1E-3</v>
      </c>
      <c r="R26" s="267">
        <v>1E-3</v>
      </c>
      <c r="V26" s="268">
        <v>4.1843664307159101E-3</v>
      </c>
      <c r="W26" s="269">
        <v>4.1826293674621304E-3</v>
      </c>
      <c r="X26" s="269">
        <v>4.1895776204772797E-3</v>
      </c>
      <c r="Y26" s="269">
        <v>4.1843664307159101E-3</v>
      </c>
      <c r="Z26" s="269">
        <v>4.18213306367533E-3</v>
      </c>
      <c r="AA26" s="269">
        <v>0</v>
      </c>
      <c r="AB26" s="269">
        <v>4.1831638484632902E-3</v>
      </c>
      <c r="AC26" s="270">
        <v>4.16873286143183E-3</v>
      </c>
    </row>
    <row r="27" spans="1:29" ht="14.25" customHeight="1" x14ac:dyDescent="0.25">
      <c r="A27" s="39">
        <v>45778</v>
      </c>
      <c r="B27" s="259">
        <v>1322347</v>
      </c>
      <c r="C27" s="260">
        <v>791784</v>
      </c>
      <c r="D27" s="260">
        <v>0</v>
      </c>
      <c r="E27" s="260">
        <v>955022</v>
      </c>
      <c r="F27" s="261">
        <v>826213</v>
      </c>
      <c r="G27" s="39">
        <v>45778</v>
      </c>
      <c r="H27" s="262">
        <v>849289</v>
      </c>
      <c r="I27" s="260">
        <v>0</v>
      </c>
      <c r="J27" s="263">
        <v>487745</v>
      </c>
      <c r="K27" s="264">
        <v>1E-3</v>
      </c>
      <c r="L27" s="265">
        <v>1E-3</v>
      </c>
      <c r="M27" s="265">
        <v>1E-3</v>
      </c>
      <c r="N27" s="265">
        <v>1E-3</v>
      </c>
      <c r="O27" s="265">
        <v>1E-3</v>
      </c>
      <c r="P27" s="266">
        <v>1E-3</v>
      </c>
      <c r="Q27" s="265">
        <v>1E-3</v>
      </c>
      <c r="R27" s="267">
        <v>1E-3</v>
      </c>
      <c r="V27" s="268">
        <v>4.1947855177659E-3</v>
      </c>
      <c r="W27" s="269">
        <v>4.1000000000000003E-3</v>
      </c>
      <c r="X27" s="269">
        <v>4.1924158798217499E-3</v>
      </c>
      <c r="Y27" s="269">
        <v>4.1896153986150297E-3</v>
      </c>
      <c r="Z27" s="269">
        <v>4.2129527420043597E-3</v>
      </c>
      <c r="AA27" s="269">
        <v>0</v>
      </c>
      <c r="AB27" s="269">
        <v>4.1770132331847903E-3</v>
      </c>
      <c r="AC27" s="270">
        <v>4.2232211730956698E-3</v>
      </c>
    </row>
    <row r="28" spans="1:29" ht="14.25" customHeight="1" x14ac:dyDescent="0.25">
      <c r="A28" s="39">
        <v>45809</v>
      </c>
      <c r="B28" s="259">
        <v>1496097</v>
      </c>
      <c r="C28" s="260">
        <v>1053405</v>
      </c>
      <c r="D28" s="260">
        <v>0</v>
      </c>
      <c r="E28" s="260">
        <v>1201103</v>
      </c>
      <c r="F28" s="261">
        <v>1671863</v>
      </c>
      <c r="G28" s="39">
        <v>45809</v>
      </c>
      <c r="H28" s="262">
        <v>1417711</v>
      </c>
      <c r="I28" s="260">
        <v>0</v>
      </c>
      <c r="J28" s="263">
        <v>1274004</v>
      </c>
      <c r="K28" s="264">
        <v>1E-3</v>
      </c>
      <c r="L28" s="265">
        <v>1E-3</v>
      </c>
      <c r="M28" s="265">
        <v>1E-3</v>
      </c>
      <c r="N28" s="265">
        <v>1E-3</v>
      </c>
      <c r="O28" s="265">
        <v>1E-3</v>
      </c>
      <c r="P28" s="266">
        <v>1E-3</v>
      </c>
      <c r="Q28" s="265">
        <v>1E-3</v>
      </c>
      <c r="R28" s="267">
        <v>1E-3</v>
      </c>
      <c r="V28" s="268">
        <v>4.2693321333421696E-3</v>
      </c>
      <c r="W28" s="269">
        <v>0</v>
      </c>
      <c r="X28" s="269">
        <v>4.2611519966562596E-3</v>
      </c>
      <c r="Y28" s="269">
        <v>4.2614306168124103E-3</v>
      </c>
      <c r="Z28" s="269">
        <v>4.2670622430060201E-3</v>
      </c>
      <c r="AA28" s="269">
        <v>0</v>
      </c>
      <c r="AB28" s="269">
        <v>4.2647448793420497E-3</v>
      </c>
      <c r="AC28" s="270">
        <v>4.2668294720514602E-3</v>
      </c>
    </row>
    <row r="29" spans="1:29" ht="14.25" customHeight="1" x14ac:dyDescent="0.25">
      <c r="A29" s="39">
        <v>45839</v>
      </c>
      <c r="B29" s="222">
        <v>1477595</v>
      </c>
      <c r="C29" s="260">
        <v>1188605</v>
      </c>
      <c r="D29" s="260">
        <v>0</v>
      </c>
      <c r="E29" s="260">
        <v>969773</v>
      </c>
      <c r="F29" s="261">
        <v>1480777</v>
      </c>
      <c r="G29" s="39">
        <v>45839</v>
      </c>
      <c r="H29" s="262">
        <v>1530583</v>
      </c>
      <c r="I29" s="260">
        <v>0</v>
      </c>
      <c r="J29" s="263">
        <v>1127839</v>
      </c>
      <c r="K29" s="264">
        <v>1E-3</v>
      </c>
      <c r="L29" s="265">
        <v>1E-3</v>
      </c>
      <c r="M29" s="265">
        <v>1E-3</v>
      </c>
      <c r="N29" s="265">
        <v>1E-3</v>
      </c>
      <c r="O29" s="265">
        <v>1E-3</v>
      </c>
      <c r="P29" s="266">
        <v>1E-3</v>
      </c>
      <c r="Q29" s="265">
        <v>1E-3</v>
      </c>
      <c r="R29" s="267">
        <v>1E-3</v>
      </c>
      <c r="V29" s="271">
        <v>4.1484189093157799E-3</v>
      </c>
      <c r="W29" s="272">
        <v>4.1203131811286004E-3</v>
      </c>
      <c r="X29" s="272">
        <v>4.1355044249988702E-3</v>
      </c>
      <c r="Y29" s="272">
        <v>4.1366181509335E-3</v>
      </c>
      <c r="Z29" s="272">
        <v>4.12454703187761E-3</v>
      </c>
      <c r="AA29" s="272">
        <v>0</v>
      </c>
      <c r="AB29" s="272">
        <v>4.1230984929385697E-3</v>
      </c>
      <c r="AC29" s="273">
        <v>4.1531994834231702E-3</v>
      </c>
    </row>
    <row r="30" spans="1:29" ht="14.25" customHeight="1" x14ac:dyDescent="0.25">
      <c r="A30" s="39">
        <v>45870</v>
      </c>
      <c r="B30" s="222">
        <v>1423460</v>
      </c>
      <c r="C30" s="260">
        <v>1173512</v>
      </c>
      <c r="D30" s="260">
        <v>0</v>
      </c>
      <c r="E30" s="260">
        <v>0</v>
      </c>
      <c r="F30" s="261">
        <v>1386791</v>
      </c>
      <c r="G30" s="39">
        <v>45870</v>
      </c>
      <c r="H30" s="262">
        <v>1439718</v>
      </c>
      <c r="I30" s="260">
        <v>0</v>
      </c>
      <c r="J30" s="263">
        <v>1121016</v>
      </c>
      <c r="K30" s="264">
        <v>1E-3</v>
      </c>
      <c r="L30" s="265">
        <v>1E-3</v>
      </c>
      <c r="M30" s="265">
        <v>1E-3</v>
      </c>
      <c r="N30" s="265">
        <v>1E-3</v>
      </c>
      <c r="O30" s="265">
        <v>1E-3</v>
      </c>
      <c r="P30" s="266">
        <v>1E-3</v>
      </c>
      <c r="Q30" s="265">
        <v>1E-3</v>
      </c>
      <c r="R30" s="267">
        <v>1E-3</v>
      </c>
      <c r="V30" s="271">
        <v>4.5350538467428198E-3</v>
      </c>
      <c r="W30" s="272">
        <v>4.59706347424457E-3</v>
      </c>
      <c r="X30" s="272">
        <v>4.63975442787261E-3</v>
      </c>
      <c r="Y30" s="272">
        <v>4.5832145498818999E-3</v>
      </c>
      <c r="Z30" s="272">
        <v>4.5440445276739398E-3</v>
      </c>
      <c r="AA30" s="272">
        <v>0</v>
      </c>
      <c r="AB30" s="272">
        <v>4.5505544937886697E-3</v>
      </c>
      <c r="AC30" s="273">
        <v>4.5737741264838599E-3</v>
      </c>
    </row>
    <row r="31" spans="1:29" ht="14.25" customHeight="1" x14ac:dyDescent="0.25">
      <c r="A31" s="39">
        <v>45901</v>
      </c>
      <c r="B31" s="222">
        <v>896538</v>
      </c>
      <c r="C31" s="260">
        <v>608182</v>
      </c>
      <c r="D31" s="260">
        <v>0</v>
      </c>
      <c r="E31" s="260">
        <v>0</v>
      </c>
      <c r="F31" s="261">
        <v>1026305</v>
      </c>
      <c r="G31" s="39">
        <v>45901</v>
      </c>
      <c r="H31" s="262">
        <v>806236</v>
      </c>
      <c r="I31" s="260">
        <v>0</v>
      </c>
      <c r="J31" s="263">
        <v>768256</v>
      </c>
      <c r="K31" s="264">
        <v>1E-3</v>
      </c>
      <c r="L31" s="265">
        <v>1E-3</v>
      </c>
      <c r="M31" s="265">
        <v>1E-3</v>
      </c>
      <c r="N31" s="265">
        <v>1E-3</v>
      </c>
      <c r="O31" s="265">
        <v>1E-3</v>
      </c>
      <c r="P31" s="266">
        <v>1E-3</v>
      </c>
      <c r="Q31" s="265">
        <v>1E-3</v>
      </c>
      <c r="R31" s="267">
        <v>1E-3</v>
      </c>
      <c r="V31" s="271">
        <v>2.8938693495558498E-3</v>
      </c>
      <c r="W31" s="272">
        <v>3.2466574134667899E-3</v>
      </c>
      <c r="X31" s="272">
        <v>4.2429148470240598E-3</v>
      </c>
      <c r="Y31" s="272">
        <v>3.41126720530482E-3</v>
      </c>
      <c r="Z31" s="272">
        <v>3.04956406815658E-3</v>
      </c>
      <c r="AA31" s="272">
        <v>0</v>
      </c>
      <c r="AB31" s="272">
        <v>3.0131938495630102E-3</v>
      </c>
      <c r="AC31" s="273">
        <v>3.3391203843742201E-3</v>
      </c>
    </row>
    <row r="32" spans="1:29" ht="14.25" customHeight="1" x14ac:dyDescent="0.25">
      <c r="A32" s="39">
        <v>45931</v>
      </c>
      <c r="B32" s="222">
        <v>1881264</v>
      </c>
      <c r="C32" s="260">
        <v>1527536</v>
      </c>
      <c r="D32" s="260">
        <v>0</v>
      </c>
      <c r="E32" s="260">
        <v>0</v>
      </c>
      <c r="F32" s="261">
        <v>1164389</v>
      </c>
      <c r="G32" s="39">
        <v>45931</v>
      </c>
      <c r="H32" s="262">
        <v>1007421</v>
      </c>
      <c r="I32" s="260">
        <v>0</v>
      </c>
      <c r="J32" s="263">
        <v>1701699</v>
      </c>
      <c r="K32" s="264">
        <v>1E-3</v>
      </c>
      <c r="L32" s="265">
        <v>1E-3</v>
      </c>
      <c r="M32" s="265">
        <v>1E-3</v>
      </c>
      <c r="N32" s="265">
        <v>1E-3</v>
      </c>
      <c r="O32" s="265">
        <v>1E-3</v>
      </c>
      <c r="P32" s="266">
        <v>1E-3</v>
      </c>
      <c r="Q32" s="265">
        <v>1E-3</v>
      </c>
      <c r="R32" s="267">
        <v>1E-3</v>
      </c>
      <c r="V32" s="271">
        <v>7.1703284266576304E-3</v>
      </c>
      <c r="W32" s="272">
        <v>7.74179085095268E-3</v>
      </c>
      <c r="X32" s="272">
        <v>3.2399004748377203E-2</v>
      </c>
      <c r="Y32" s="274">
        <f>AVERAGE(Y29:Y31)</f>
        <v>4.0436999687067402E-3</v>
      </c>
      <c r="Z32" s="272">
        <v>9.5257774618888891E-3</v>
      </c>
      <c r="AA32" s="272">
        <v>0</v>
      </c>
      <c r="AB32" s="272">
        <v>1.0088016639479501E-2</v>
      </c>
      <c r="AC32" s="273">
        <v>1.1240171040355299E-2</v>
      </c>
    </row>
    <row r="33" spans="1:29" ht="14.25" customHeight="1" x14ac:dyDescent="0.25">
      <c r="A33" s="39">
        <v>45962</v>
      </c>
      <c r="B33" s="222">
        <v>1565276</v>
      </c>
      <c r="C33" s="275">
        <v>1321127</v>
      </c>
      <c r="D33" s="275">
        <v>0</v>
      </c>
      <c r="E33" s="275">
        <v>0</v>
      </c>
      <c r="F33" s="276">
        <v>1380164</v>
      </c>
      <c r="G33" s="39">
        <v>45962</v>
      </c>
      <c r="H33" s="277">
        <v>1071085</v>
      </c>
      <c r="I33" s="275">
        <v>0</v>
      </c>
      <c r="J33" s="278">
        <v>1200751</v>
      </c>
      <c r="K33" s="264">
        <v>1E-3</v>
      </c>
      <c r="L33" s="265">
        <v>1E-3</v>
      </c>
      <c r="M33" s="265">
        <v>1E-3</v>
      </c>
      <c r="N33" s="265">
        <v>1E-3</v>
      </c>
      <c r="O33" s="265">
        <v>1E-3</v>
      </c>
      <c r="P33" s="266">
        <v>1E-3</v>
      </c>
      <c r="Q33" s="265">
        <v>1E-3</v>
      </c>
      <c r="R33" s="267">
        <v>1E-3</v>
      </c>
      <c r="V33" s="271">
        <v>2.5174251182953598E-2</v>
      </c>
      <c r="W33" s="272">
        <v>2.12394003121417E-2</v>
      </c>
      <c r="X33" s="272">
        <v>3.8856123495727E-2</v>
      </c>
      <c r="Z33" s="272">
        <v>2.3266001580031899E-2</v>
      </c>
      <c r="AA33" s="272">
        <v>0</v>
      </c>
      <c r="AB33" s="272">
        <v>2.46926009452587E-2</v>
      </c>
      <c r="AC33" s="273">
        <v>3.9594090227645103E-2</v>
      </c>
    </row>
    <row r="34" spans="1:29" ht="14.25" customHeight="1" x14ac:dyDescent="0.25">
      <c r="A34" s="46">
        <v>45992</v>
      </c>
      <c r="B34" s="222">
        <v>884129</v>
      </c>
      <c r="C34" s="279">
        <v>705108</v>
      </c>
      <c r="D34" s="279">
        <v>0</v>
      </c>
      <c r="E34" s="279">
        <v>0</v>
      </c>
      <c r="F34" s="280">
        <v>933740</v>
      </c>
      <c r="G34" s="46">
        <v>45992</v>
      </c>
      <c r="H34" s="281">
        <v>1075008</v>
      </c>
      <c r="I34" s="279">
        <v>0</v>
      </c>
      <c r="J34" s="282">
        <v>521510</v>
      </c>
      <c r="K34" s="264">
        <v>1E-3</v>
      </c>
      <c r="L34" s="265">
        <v>1E-3</v>
      </c>
      <c r="M34" s="265">
        <v>1E-3</v>
      </c>
      <c r="N34" s="265">
        <v>1E-3</v>
      </c>
      <c r="O34" s="265">
        <v>1E-3</v>
      </c>
      <c r="P34" s="266">
        <v>1E-3</v>
      </c>
      <c r="Q34" s="265">
        <v>1E-3</v>
      </c>
      <c r="R34" s="267">
        <v>1E-3</v>
      </c>
      <c r="V34" s="271">
        <v>4.1562001512760197E-2</v>
      </c>
      <c r="W34" s="272">
        <v>4.1562001512760197E-2</v>
      </c>
      <c r="X34" s="283">
        <f>AVERAGE(X29:X33)</f>
        <v>1.6854660388799948E-2</v>
      </c>
      <c r="Z34" s="272">
        <v>3.9271501134570203E-2</v>
      </c>
      <c r="AA34" s="272">
        <v>0</v>
      </c>
      <c r="AB34" s="272">
        <v>3.8447683726883501E-2</v>
      </c>
      <c r="AC34" s="284">
        <f>AVERAGE(AC29:AC33)</f>
        <v>1.2580071052456333E-2</v>
      </c>
    </row>
    <row r="35" spans="1:29" ht="14.25" customHeight="1" x14ac:dyDescent="0.25">
      <c r="A35" s="285" t="s">
        <v>26</v>
      </c>
      <c r="B35" s="236">
        <f>SUM(B23:B34)</f>
        <v>14951026</v>
      </c>
      <c r="C35" s="286">
        <f>SUM(C23:C34)</f>
        <v>13274786</v>
      </c>
      <c r="D35" s="286">
        <f>SUM(D23:D34)</f>
        <v>0</v>
      </c>
      <c r="E35" s="286">
        <f>SUM(E23:E34)</f>
        <v>7814824</v>
      </c>
      <c r="F35" s="287">
        <f>SUM(F23:F34)</f>
        <v>9870242</v>
      </c>
      <c r="G35" s="288"/>
      <c r="H35" s="236">
        <f>SUM(H23:H34)</f>
        <v>9197051</v>
      </c>
      <c r="I35" s="236">
        <f>SUM(I23:I34)</f>
        <v>0</v>
      </c>
      <c r="J35" s="289">
        <f>SUM(J23:J34)</f>
        <v>8263522</v>
      </c>
      <c r="K35" s="290">
        <f>AVERAGE(K23:K34)</f>
        <v>1.0000000000000002E-3</v>
      </c>
      <c r="L35" s="291">
        <f>AVERAGE(L23:L34)</f>
        <v>1.0000000000000002E-3</v>
      </c>
      <c r="M35" s="291">
        <f>AVERAGE(M23:M34)</f>
        <v>1.0000000000000002E-3</v>
      </c>
      <c r="N35" s="291">
        <f>AVERAGE(N23:N34)</f>
        <v>1.0000000000000002E-3</v>
      </c>
      <c r="O35" s="291">
        <f>AVERAGE(O23:O34)</f>
        <v>1.0000000000000002E-3</v>
      </c>
      <c r="P35" s="292">
        <v>0</v>
      </c>
      <c r="Q35" s="291">
        <f>AVERAGE(Q23:Q34)</f>
        <v>1.0000000000000002E-3</v>
      </c>
      <c r="R35" s="291">
        <f>AVERAGE(R23:R34)</f>
        <v>1.0000000000000002E-3</v>
      </c>
      <c r="V35" s="283">
        <f>AVERAGE(V29:V34)</f>
        <v>1.4247320537997646E-2</v>
      </c>
      <c r="W35" s="283">
        <f>AVERAGE(W29:W34)</f>
        <v>1.375120445744909E-2</v>
      </c>
      <c r="Z35" s="274">
        <f>AVERAGE(Z29:Z34)</f>
        <v>1.3963572634033188E-2</v>
      </c>
      <c r="AA35" s="274">
        <f>AVERAGE(AA29:AA34)</f>
        <v>0</v>
      </c>
      <c r="AB35" s="274">
        <f>AVERAGE(AB29:AB34)</f>
        <v>1.415252469131866E-2</v>
      </c>
    </row>
    <row r="36" spans="1:29" ht="14.25" customHeight="1" x14ac:dyDescent="0.25">
      <c r="B36" s="55"/>
      <c r="C36" s="55"/>
      <c r="D36" s="55"/>
      <c r="E36" s="55"/>
      <c r="F36" s="55"/>
      <c r="G36" s="55"/>
      <c r="H36" s="55"/>
      <c r="I36" s="55"/>
      <c r="J36" s="55"/>
    </row>
    <row r="37" spans="1:29" ht="14.25" customHeight="1" x14ac:dyDescent="0.25">
      <c r="F37" s="55"/>
      <c r="H37" s="172">
        <f>B35+C35+D35+E35+F35+H35+I35+J35</f>
        <v>63371451</v>
      </c>
    </row>
    <row r="38" spans="1:29" ht="14.25" customHeight="1" x14ac:dyDescent="0.25">
      <c r="A38" s="565" t="s">
        <v>222</v>
      </c>
      <c r="B38" s="565"/>
      <c r="C38" s="565"/>
      <c r="D38" s="565"/>
      <c r="E38" s="565"/>
    </row>
    <row r="39" spans="1:29" ht="14.25" customHeight="1" x14ac:dyDescent="0.25">
      <c r="A39" s="565" t="s">
        <v>62</v>
      </c>
      <c r="B39" s="565"/>
      <c r="C39" s="565"/>
      <c r="D39" s="565" t="s">
        <v>63</v>
      </c>
      <c r="E39" s="565"/>
      <c r="H39" s="585"/>
      <c r="I39" s="585"/>
    </row>
    <row r="40" spans="1:29" ht="14.25" customHeight="1" x14ac:dyDescent="0.25">
      <c r="A40" s="25" t="s">
        <v>65</v>
      </c>
      <c r="B40" s="555" t="s">
        <v>223</v>
      </c>
      <c r="C40" s="32" t="s">
        <v>224</v>
      </c>
      <c r="D40" s="29" t="s">
        <v>223</v>
      </c>
      <c r="E40" s="32" t="s">
        <v>224</v>
      </c>
      <c r="H40" s="556"/>
      <c r="I40" s="556"/>
    </row>
    <row r="41" spans="1:29" ht="14.25" customHeight="1" x14ac:dyDescent="0.25">
      <c r="A41" s="33">
        <v>45658</v>
      </c>
      <c r="B41" s="216">
        <v>0</v>
      </c>
      <c r="C41" s="293">
        <v>0</v>
      </c>
      <c r="D41" s="294">
        <v>0</v>
      </c>
      <c r="E41" s="36">
        <v>0</v>
      </c>
      <c r="H41" s="168"/>
      <c r="I41" s="168"/>
    </row>
    <row r="42" spans="1:29" ht="14.25" customHeight="1" x14ac:dyDescent="0.25">
      <c r="A42" s="39">
        <v>45689</v>
      </c>
      <c r="B42" s="222">
        <v>0</v>
      </c>
      <c r="C42" s="278">
        <v>0</v>
      </c>
      <c r="D42" s="277">
        <v>0</v>
      </c>
      <c r="E42" s="44">
        <v>0</v>
      </c>
      <c r="H42" s="168"/>
      <c r="I42" s="295"/>
    </row>
    <row r="43" spans="1:29" ht="14.25" customHeight="1" x14ac:dyDescent="0.25">
      <c r="A43" s="39">
        <v>45717</v>
      </c>
      <c r="B43" s="222">
        <v>0</v>
      </c>
      <c r="C43" s="278">
        <v>0</v>
      </c>
      <c r="D43" s="277">
        <v>0</v>
      </c>
      <c r="E43" s="44">
        <v>0</v>
      </c>
      <c r="H43" s="168"/>
    </row>
    <row r="44" spans="1:29" ht="14.25" customHeight="1" x14ac:dyDescent="0.25">
      <c r="A44" s="39">
        <v>45748</v>
      </c>
      <c r="B44" s="222">
        <v>0</v>
      </c>
      <c r="C44" s="278">
        <v>0</v>
      </c>
      <c r="D44" s="277">
        <v>0</v>
      </c>
      <c r="E44" s="44">
        <v>0</v>
      </c>
      <c r="H44" s="168"/>
    </row>
    <row r="45" spans="1:29" ht="14.25" customHeight="1" x14ac:dyDescent="0.25">
      <c r="A45" s="39">
        <v>45778</v>
      </c>
      <c r="B45" s="222">
        <v>0</v>
      </c>
      <c r="C45" s="278">
        <v>0</v>
      </c>
      <c r="D45" s="277">
        <v>0</v>
      </c>
      <c r="E45" s="44">
        <v>0</v>
      </c>
      <c r="H45" s="168"/>
    </row>
    <row r="46" spans="1:29" ht="14.25" customHeight="1" x14ac:dyDescent="0.25">
      <c r="A46" s="39">
        <v>45809</v>
      </c>
      <c r="B46" s="222">
        <v>0</v>
      </c>
      <c r="C46" s="278">
        <v>0</v>
      </c>
      <c r="D46" s="277">
        <v>0</v>
      </c>
      <c r="E46" s="44">
        <v>0</v>
      </c>
      <c r="H46" s="168"/>
    </row>
    <row r="47" spans="1:29" ht="14.25" customHeight="1" x14ac:dyDescent="0.25">
      <c r="A47" s="39">
        <v>45839</v>
      </c>
      <c r="B47" s="222">
        <v>0</v>
      </c>
      <c r="C47" s="278">
        <v>0</v>
      </c>
      <c r="D47" s="277">
        <v>2.9999999999999997E-4</v>
      </c>
      <c r="E47" s="44">
        <v>2.9999999999999997E-4</v>
      </c>
      <c r="H47" s="168"/>
    </row>
    <row r="48" spans="1:29" ht="14.25" customHeight="1" x14ac:dyDescent="0.25">
      <c r="A48" s="39">
        <v>45870</v>
      </c>
      <c r="B48" s="222">
        <v>0</v>
      </c>
      <c r="C48" s="278">
        <v>0</v>
      </c>
      <c r="D48" s="277">
        <v>8.0000000000000004E-4</v>
      </c>
      <c r="E48" s="44">
        <v>8.0000000000000004E-4</v>
      </c>
      <c r="H48" s="168"/>
    </row>
    <row r="49" spans="1:11" ht="14.25" customHeight="1" x14ac:dyDescent="0.25">
      <c r="A49" s="39">
        <v>45901</v>
      </c>
      <c r="B49" s="222">
        <v>0</v>
      </c>
      <c r="C49" s="278">
        <v>0</v>
      </c>
      <c r="D49" s="277">
        <v>8.0000000000000004E-4</v>
      </c>
      <c r="E49" s="44">
        <v>8.0000000000000004E-4</v>
      </c>
      <c r="H49" s="295"/>
    </row>
    <row r="50" spans="1:11" ht="14.25" customHeight="1" x14ac:dyDescent="0.25">
      <c r="A50" s="39">
        <v>45931</v>
      </c>
      <c r="B50" s="222">
        <v>0</v>
      </c>
      <c r="C50" s="278">
        <v>0</v>
      </c>
      <c r="D50" s="277">
        <v>8.0000000000000004E-4</v>
      </c>
      <c r="E50" s="44">
        <v>8.0000000000000004E-4</v>
      </c>
    </row>
    <row r="51" spans="1:11" ht="14.25" customHeight="1" x14ac:dyDescent="0.25">
      <c r="A51" s="39">
        <v>45962</v>
      </c>
      <c r="B51" s="222">
        <v>0</v>
      </c>
      <c r="C51" s="278">
        <v>0</v>
      </c>
      <c r="D51" s="277">
        <v>0</v>
      </c>
      <c r="E51" s="44">
        <v>0</v>
      </c>
    </row>
    <row r="52" spans="1:11" ht="14.25" customHeight="1" x14ac:dyDescent="0.25">
      <c r="A52" s="46">
        <v>45992</v>
      </c>
      <c r="B52" s="231">
        <v>0</v>
      </c>
      <c r="C52" s="282">
        <v>0</v>
      </c>
      <c r="D52" s="281">
        <v>0</v>
      </c>
      <c r="E52" s="49">
        <v>0</v>
      </c>
    </row>
    <row r="53" spans="1:11" ht="14.25" customHeight="1" x14ac:dyDescent="0.25">
      <c r="A53" s="296" t="s">
        <v>26</v>
      </c>
      <c r="B53" s="236">
        <f>SUM(B41:B52)</f>
        <v>0</v>
      </c>
      <c r="C53" s="297">
        <f>SUM(C41:C52)</f>
        <v>0</v>
      </c>
      <c r="D53" s="298">
        <f>AVERAGE(D41:D52)</f>
        <v>2.2500000000000002E-4</v>
      </c>
      <c r="E53" s="298">
        <f>AVERAGE(E41:E52)</f>
        <v>2.2500000000000002E-4</v>
      </c>
    </row>
    <row r="55" spans="1:11" ht="14.25" customHeight="1" x14ac:dyDescent="0.25">
      <c r="B55" s="55">
        <f>B53+C53</f>
        <v>0</v>
      </c>
      <c r="H55" s="55">
        <f>H37+B55</f>
        <v>63371451</v>
      </c>
      <c r="J55" s="68">
        <f>SUM(K35:R35)</f>
        <v>7.000000000000001E-3</v>
      </c>
      <c r="K55" s="68">
        <f>SUM(D53:E53)</f>
        <v>4.5000000000000004E-4</v>
      </c>
    </row>
    <row r="56" spans="1:11" ht="14.25" customHeight="1" x14ac:dyDescent="0.25">
      <c r="K56" s="68">
        <f>SUM(J55:K55)/10</f>
        <v>7.4500000000000011E-4</v>
      </c>
    </row>
  </sheetData>
  <mergeCells count="14">
    <mergeCell ref="A39:C39"/>
    <mergeCell ref="D39:E39"/>
    <mergeCell ref="H39:I39"/>
    <mergeCell ref="A20:R20"/>
    <mergeCell ref="A21:J21"/>
    <mergeCell ref="K21:R21"/>
    <mergeCell ref="V21:AC21"/>
    <mergeCell ref="A38:E38"/>
    <mergeCell ref="A2:F2"/>
    <mergeCell ref="H2:I3"/>
    <mergeCell ref="A3:A4"/>
    <mergeCell ref="B3:C3"/>
    <mergeCell ref="D3:E3"/>
    <mergeCell ref="F3:F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85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1" width="12.85546875" customWidth="1"/>
    <col min="2" max="2" width="16" customWidth="1"/>
    <col min="3" max="3" width="6.5703125" customWidth="1"/>
    <col min="4" max="4" width="16.28515625" customWidth="1"/>
    <col min="5" max="5" width="4.28515625" customWidth="1"/>
    <col min="6" max="6" width="6.42578125" customWidth="1"/>
    <col min="7" max="7" width="3.5703125" customWidth="1"/>
    <col min="9" max="9" width="6.85546875" customWidth="1"/>
    <col min="10" max="10" width="14.140625" customWidth="1"/>
    <col min="11" max="11" width="15.42578125" customWidth="1"/>
    <col min="12" max="12" width="10.28515625" customWidth="1"/>
    <col min="13" max="13" width="15.7109375" customWidth="1"/>
    <col min="17" max="17" width="5" customWidth="1"/>
    <col min="18" max="18" width="7.42578125" customWidth="1"/>
  </cols>
  <sheetData>
    <row r="1" spans="1:23" ht="14.25" customHeight="1" x14ac:dyDescent="0.2">
      <c r="A1" s="586" t="s">
        <v>225</v>
      </c>
      <c r="B1" s="586"/>
      <c r="C1" s="586"/>
      <c r="D1" s="586"/>
      <c r="E1" s="586"/>
      <c r="F1" s="586"/>
      <c r="G1" s="586"/>
      <c r="H1" s="586"/>
      <c r="I1" s="586"/>
      <c r="J1" s="571" t="s">
        <v>226</v>
      </c>
      <c r="K1" s="571"/>
      <c r="L1" s="571"/>
      <c r="M1" s="571"/>
      <c r="N1" s="571"/>
      <c r="O1" s="571"/>
      <c r="P1" s="571"/>
      <c r="Q1" s="571"/>
      <c r="R1" s="571"/>
    </row>
    <row r="2" spans="1:23" ht="21.75" customHeight="1" x14ac:dyDescent="0.2"/>
    <row r="3" spans="1:23" ht="14.25" customHeight="1" x14ac:dyDescent="0.2">
      <c r="A3" s="587" t="s">
        <v>227</v>
      </c>
      <c r="B3" s="587"/>
      <c r="C3" s="587"/>
      <c r="D3" s="587"/>
      <c r="E3" s="84"/>
      <c r="F3" s="84"/>
      <c r="G3" s="84"/>
      <c r="J3" s="588" t="s">
        <v>79</v>
      </c>
      <c r="K3" s="588"/>
      <c r="L3" s="588"/>
      <c r="M3" s="84"/>
      <c r="N3" s="84"/>
      <c r="O3" s="84"/>
      <c r="P3" s="84"/>
      <c r="Q3" s="84"/>
      <c r="R3" s="84"/>
    </row>
    <row r="4" spans="1:23" ht="14.25" customHeight="1" x14ac:dyDescent="0.2">
      <c r="A4" s="299" t="s">
        <v>17</v>
      </c>
      <c r="B4" s="84" t="s">
        <v>228</v>
      </c>
      <c r="C4" s="84"/>
      <c r="D4" s="300"/>
      <c r="E4" s="84"/>
      <c r="F4" s="84"/>
      <c r="G4" s="84"/>
      <c r="J4" s="301" t="s">
        <v>17</v>
      </c>
      <c r="K4" s="302" t="s">
        <v>229</v>
      </c>
      <c r="L4" s="303"/>
    </row>
    <row r="5" spans="1:23" ht="14.25" customHeight="1" x14ac:dyDescent="0.2">
      <c r="A5" s="304" t="s">
        <v>41</v>
      </c>
      <c r="B5" s="84" t="s">
        <v>230</v>
      </c>
      <c r="C5" s="84"/>
      <c r="D5" s="300"/>
      <c r="E5" s="84"/>
      <c r="F5" s="84"/>
      <c r="G5" s="84"/>
      <c r="J5" s="305" t="s">
        <v>41</v>
      </c>
      <c r="K5" s="306" t="s">
        <v>231</v>
      </c>
      <c r="L5" s="307"/>
      <c r="M5" s="84"/>
      <c r="N5" s="84"/>
      <c r="O5" s="84"/>
      <c r="P5" s="84"/>
      <c r="Q5" s="84"/>
      <c r="R5" s="84"/>
    </row>
    <row r="6" spans="1:23" ht="14.25" customHeight="1" x14ac:dyDescent="0.2">
      <c r="A6" s="304" t="s">
        <v>20</v>
      </c>
      <c r="B6" s="84" t="s">
        <v>232</v>
      </c>
      <c r="C6" s="84"/>
      <c r="D6" s="300"/>
      <c r="E6" s="84"/>
      <c r="F6" s="84"/>
      <c r="G6" s="84"/>
      <c r="J6" s="305" t="s">
        <v>20</v>
      </c>
      <c r="K6" s="306" t="s">
        <v>233</v>
      </c>
      <c r="L6" s="307"/>
      <c r="M6" s="84"/>
      <c r="N6" s="84"/>
      <c r="O6" s="84"/>
      <c r="P6" s="84"/>
      <c r="Q6" s="84"/>
      <c r="R6" s="84"/>
    </row>
    <row r="7" spans="1:23" ht="14.25" customHeight="1" x14ac:dyDescent="0.2">
      <c r="A7" s="304" t="s">
        <v>22</v>
      </c>
      <c r="B7" s="84" t="s">
        <v>234</v>
      </c>
      <c r="C7" s="84"/>
      <c r="D7" s="300"/>
      <c r="E7" s="84"/>
      <c r="F7" s="84"/>
      <c r="G7" s="84"/>
      <c r="J7" s="305" t="s">
        <v>22</v>
      </c>
      <c r="K7" s="306" t="s">
        <v>235</v>
      </c>
      <c r="L7" s="307"/>
      <c r="M7" s="84"/>
      <c r="N7" s="84"/>
      <c r="O7" s="84"/>
      <c r="P7" s="84"/>
      <c r="Q7" s="84"/>
      <c r="R7" s="84"/>
    </row>
    <row r="8" spans="1:23" ht="14.25" customHeight="1" x14ac:dyDescent="0.2">
      <c r="A8" s="304" t="s">
        <v>21</v>
      </c>
      <c r="B8" s="84" t="s">
        <v>236</v>
      </c>
      <c r="C8" s="84"/>
      <c r="D8" s="300"/>
      <c r="E8" s="84"/>
      <c r="F8" s="84"/>
      <c r="G8" s="84"/>
      <c r="J8" s="305" t="s">
        <v>21</v>
      </c>
      <c r="K8" s="306" t="s">
        <v>237</v>
      </c>
      <c r="L8" s="307"/>
      <c r="M8" s="84"/>
      <c r="N8" s="84"/>
      <c r="O8" s="84"/>
      <c r="P8" s="84"/>
      <c r="Q8" s="84"/>
      <c r="R8" s="84"/>
    </row>
    <row r="9" spans="1:23" ht="14.25" customHeight="1" x14ac:dyDescent="0.2">
      <c r="A9" s="308" t="s">
        <v>23</v>
      </c>
      <c r="B9" s="309" t="s">
        <v>238</v>
      </c>
      <c r="C9" s="309"/>
      <c r="D9" s="310"/>
      <c r="E9" s="84"/>
      <c r="F9" s="84"/>
      <c r="G9" s="84"/>
      <c r="J9" s="311" t="s">
        <v>23</v>
      </c>
      <c r="K9" s="312" t="s">
        <v>239</v>
      </c>
      <c r="L9" s="313"/>
      <c r="M9" s="84"/>
      <c r="N9" s="84"/>
      <c r="O9" s="84"/>
      <c r="P9" s="84"/>
      <c r="Q9" s="84"/>
      <c r="R9" s="84"/>
    </row>
    <row r="10" spans="1:23" ht="14.25" customHeight="1" x14ac:dyDescent="0.2">
      <c r="A10" s="308" t="s">
        <v>24</v>
      </c>
      <c r="B10" s="309" t="s">
        <v>240</v>
      </c>
      <c r="C10" s="309" t="s">
        <v>241</v>
      </c>
      <c r="D10" s="310"/>
      <c r="E10" s="84"/>
      <c r="F10" s="84"/>
      <c r="G10" s="84"/>
      <c r="J10" s="308" t="s">
        <v>24</v>
      </c>
      <c r="K10" s="312" t="s">
        <v>242</v>
      </c>
      <c r="L10" s="313" t="s">
        <v>241</v>
      </c>
      <c r="M10" s="84"/>
      <c r="N10" s="84"/>
      <c r="O10" s="84"/>
      <c r="P10" s="84"/>
      <c r="Q10" s="84"/>
    </row>
    <row r="11" spans="1:23" ht="24.75" customHeight="1" x14ac:dyDescent="0.2">
      <c r="M11" s="84"/>
      <c r="N11" s="84"/>
      <c r="O11" s="84"/>
      <c r="P11" s="84"/>
      <c r="Q11" s="84"/>
      <c r="R11" s="84"/>
    </row>
    <row r="12" spans="1:23" ht="14.25" customHeight="1" x14ac:dyDescent="0.2">
      <c r="A12" s="314" t="s">
        <v>186</v>
      </c>
      <c r="B12" s="315">
        <f>SUM(Aguirre!F17)</f>
        <v>79730260.680000007</v>
      </c>
      <c r="C12" s="303" t="s">
        <v>89</v>
      </c>
      <c r="D12" s="84"/>
      <c r="E12" s="84"/>
      <c r="F12" s="84"/>
      <c r="G12" s="84"/>
      <c r="J12" s="316" t="s">
        <v>88</v>
      </c>
      <c r="K12" s="317">
        <f>SUM(Aguirre!H55)</f>
        <v>63371451</v>
      </c>
      <c r="L12" s="303" t="s">
        <v>89</v>
      </c>
      <c r="V12">
        <f>323412*2204.6/28478821</f>
        <v>25.035941452772921</v>
      </c>
      <c r="W12" t="s">
        <v>119</v>
      </c>
    </row>
    <row r="13" spans="1:23" ht="14.25" customHeight="1" x14ac:dyDescent="0.2">
      <c r="A13" s="312" t="s">
        <v>90</v>
      </c>
      <c r="B13" s="318">
        <f>SUM(Aguirre!I17)</f>
        <v>0.48416666666666669</v>
      </c>
      <c r="C13" s="313"/>
      <c r="D13" s="84"/>
      <c r="E13" s="84"/>
      <c r="F13" s="84"/>
      <c r="G13" s="84"/>
      <c r="J13" s="319" t="s">
        <v>90</v>
      </c>
      <c r="K13" s="320">
        <f>AVERAGE(Aguirre!K34:R34,Aguirre!D52:E52)</f>
        <v>8.0000000000000004E-4</v>
      </c>
      <c r="L13" s="313"/>
      <c r="M13" s="84"/>
      <c r="N13" s="84"/>
      <c r="O13" s="84"/>
      <c r="P13" s="84"/>
      <c r="Q13" s="84"/>
      <c r="R13" s="84"/>
      <c r="V13">
        <f>(73.96+0.003*26+0.0006*298)*2.2046*0.138</f>
        <v>22.579333304640002</v>
      </c>
      <c r="W13" t="s">
        <v>119</v>
      </c>
    </row>
    <row r="14" spans="1:23" ht="14.25" customHeight="1" x14ac:dyDescent="0.2">
      <c r="M14" s="84"/>
      <c r="N14" s="84"/>
      <c r="O14" s="84"/>
      <c r="P14" s="84"/>
      <c r="Q14" s="84"/>
      <c r="R14" s="84"/>
    </row>
    <row r="15" spans="1:23" ht="20.25" customHeight="1" x14ac:dyDescent="0.2"/>
    <row r="16" spans="1:23" ht="14.25" customHeight="1" x14ac:dyDescent="0.2">
      <c r="A16" s="84" t="s">
        <v>91</v>
      </c>
      <c r="B16" s="84"/>
      <c r="C16" s="84"/>
      <c r="D16" s="84"/>
      <c r="E16" s="84"/>
      <c r="F16" s="84"/>
      <c r="G16" s="84"/>
      <c r="J16" s="84" t="s">
        <v>91</v>
      </c>
      <c r="K16" s="84"/>
      <c r="L16" s="84"/>
      <c r="M16" s="84"/>
      <c r="N16" s="84"/>
      <c r="O16" s="84"/>
      <c r="P16" s="84"/>
      <c r="Q16" s="84"/>
      <c r="R16" s="84"/>
    </row>
    <row r="18" spans="1:18" ht="14.25" customHeight="1" x14ac:dyDescent="0.2">
      <c r="A18" s="199" t="s">
        <v>92</v>
      </c>
      <c r="B18" s="205">
        <f>(9.19*B13)+3.22</f>
        <v>7.6694916666666675</v>
      </c>
      <c r="C18" s="200" t="s">
        <v>93</v>
      </c>
      <c r="D18" s="109">
        <f>B12</f>
        <v>79730260.680000007</v>
      </c>
      <c r="E18" s="200" t="s">
        <v>94</v>
      </c>
      <c r="F18" s="580" t="s">
        <v>96</v>
      </c>
      <c r="G18" s="580"/>
      <c r="J18" s="199" t="s">
        <v>92</v>
      </c>
      <c r="K18" s="554">
        <v>1.2E-2</v>
      </c>
      <c r="L18" s="200" t="s">
        <v>93</v>
      </c>
      <c r="M18" s="109">
        <f>K12</f>
        <v>63371451</v>
      </c>
      <c r="N18" s="200" t="s">
        <v>94</v>
      </c>
      <c r="O18" s="554">
        <v>0.13800000000000001</v>
      </c>
      <c r="P18" s="200" t="s">
        <v>95</v>
      </c>
      <c r="Q18" s="554" t="s">
        <v>96</v>
      </c>
      <c r="R18" s="201"/>
    </row>
    <row r="19" spans="1:18" ht="14.25" customHeight="1" x14ac:dyDescent="0.2">
      <c r="A19" s="84"/>
      <c r="B19" s="147">
        <v>1000</v>
      </c>
      <c r="C19" s="123" t="s">
        <v>94</v>
      </c>
      <c r="D19" s="576" t="s">
        <v>65</v>
      </c>
      <c r="E19" s="576"/>
      <c r="F19" s="147">
        <v>2000</v>
      </c>
      <c r="G19" s="123" t="s">
        <v>93</v>
      </c>
      <c r="J19" s="84"/>
      <c r="K19" s="147" t="s">
        <v>95</v>
      </c>
      <c r="L19" s="123"/>
      <c r="M19" s="576" t="s">
        <v>65</v>
      </c>
      <c r="N19" s="576"/>
      <c r="O19" s="147" t="s">
        <v>94</v>
      </c>
      <c r="P19" s="123"/>
      <c r="Q19" s="147">
        <v>2000</v>
      </c>
      <c r="R19" s="321" t="s">
        <v>93</v>
      </c>
    </row>
    <row r="22" spans="1:18" ht="14.25" customHeight="1" x14ac:dyDescent="0.2">
      <c r="A22" s="199" t="s">
        <v>92</v>
      </c>
      <c r="B22" s="196">
        <f>((B18/B19)*D18)/F19</f>
        <v>305.7452849332106</v>
      </c>
      <c r="C22" s="202" t="s">
        <v>96</v>
      </c>
      <c r="D22" s="84"/>
      <c r="E22" s="84"/>
      <c r="F22" s="84"/>
      <c r="G22" s="84"/>
      <c r="J22" s="199" t="s">
        <v>92</v>
      </c>
      <c r="K22" s="196">
        <f>((K18*M18*O18)/Q19)</f>
        <v>52.471561428000008</v>
      </c>
      <c r="L22" s="202" t="s">
        <v>96</v>
      </c>
      <c r="M22" s="84"/>
      <c r="N22" s="84"/>
      <c r="O22" s="195"/>
      <c r="P22" s="84"/>
      <c r="Q22" s="84"/>
      <c r="R22" s="84"/>
    </row>
    <row r="23" spans="1:18" ht="14.25" customHeight="1" x14ac:dyDescent="0.2">
      <c r="A23" s="84"/>
      <c r="B23" s="84"/>
      <c r="C23" s="576" t="s">
        <v>65</v>
      </c>
      <c r="D23" s="576"/>
      <c r="E23" s="84"/>
      <c r="F23" s="84"/>
      <c r="G23" s="84"/>
      <c r="J23" s="84"/>
      <c r="K23" s="84"/>
      <c r="L23" s="194" t="s">
        <v>65</v>
      </c>
      <c r="M23" s="84"/>
      <c r="N23" s="84"/>
      <c r="O23" s="84"/>
      <c r="P23" s="84"/>
      <c r="Q23" s="84"/>
      <c r="R23" s="84"/>
    </row>
    <row r="26" spans="1:18" ht="14.25" customHeight="1" x14ac:dyDescent="0.2">
      <c r="A26" s="84" t="s">
        <v>99</v>
      </c>
      <c r="B26" s="84"/>
      <c r="C26" s="84"/>
      <c r="D26" s="84"/>
      <c r="E26" s="84"/>
      <c r="F26" s="84"/>
      <c r="G26" s="84"/>
      <c r="J26" s="84" t="s">
        <v>99</v>
      </c>
      <c r="K26" s="84"/>
      <c r="L26" s="84"/>
      <c r="M26" s="84"/>
      <c r="N26" s="84"/>
      <c r="O26" s="84"/>
      <c r="P26" s="84"/>
      <c r="Q26" s="84"/>
      <c r="R26" s="84"/>
    </row>
    <row r="27" spans="1:18" ht="14.25" customHeight="1" x14ac:dyDescent="0.25">
      <c r="B27" s="322"/>
    </row>
    <row r="28" spans="1:18" ht="14.25" customHeight="1" x14ac:dyDescent="0.2">
      <c r="A28" s="199" t="s">
        <v>92</v>
      </c>
      <c r="B28" s="323">
        <f>157*B13</f>
        <v>76.014166666666668</v>
      </c>
      <c r="C28" s="200" t="s">
        <v>93</v>
      </c>
      <c r="D28" s="109">
        <f>B12</f>
        <v>79730260.680000007</v>
      </c>
      <c r="E28" s="200" t="s">
        <v>94</v>
      </c>
      <c r="F28" s="580" t="s">
        <v>96</v>
      </c>
      <c r="G28" s="580"/>
      <c r="J28" s="199" t="s">
        <v>92</v>
      </c>
      <c r="K28" s="205">
        <f>1.01*K13</f>
        <v>8.0800000000000002E-4</v>
      </c>
      <c r="L28" s="200" t="s">
        <v>93</v>
      </c>
      <c r="M28" s="109">
        <f>K12</f>
        <v>63371451</v>
      </c>
      <c r="N28" s="200" t="s">
        <v>94</v>
      </c>
      <c r="O28" s="554">
        <v>0.13800000000000001</v>
      </c>
      <c r="P28" s="200" t="s">
        <v>95</v>
      </c>
      <c r="Q28" s="554" t="s">
        <v>96</v>
      </c>
      <c r="R28" s="201"/>
    </row>
    <row r="29" spans="1:18" ht="14.25" customHeight="1" x14ac:dyDescent="0.2">
      <c r="A29" s="84"/>
      <c r="B29" s="147">
        <v>1000</v>
      </c>
      <c r="C29" s="123" t="s">
        <v>94</v>
      </c>
      <c r="D29" s="576" t="s">
        <v>65</v>
      </c>
      <c r="E29" s="576"/>
      <c r="F29" s="147">
        <v>2000</v>
      </c>
      <c r="G29" s="123" t="s">
        <v>93</v>
      </c>
      <c r="J29" s="84"/>
      <c r="K29" s="147" t="s">
        <v>95</v>
      </c>
      <c r="L29" s="123"/>
      <c r="M29" s="576" t="s">
        <v>65</v>
      </c>
      <c r="N29" s="576"/>
      <c r="O29" s="147" t="s">
        <v>94</v>
      </c>
      <c r="P29" s="123"/>
      <c r="Q29" s="147">
        <v>2000</v>
      </c>
      <c r="R29" s="321" t="s">
        <v>93</v>
      </c>
    </row>
    <row r="32" spans="1:18" ht="14.25" customHeight="1" x14ac:dyDescent="0.2">
      <c r="A32" s="199" t="s">
        <v>92</v>
      </c>
      <c r="B32" s="196">
        <f>((B28/B29)*D28)/F29</f>
        <v>3030.3146618531505</v>
      </c>
      <c r="C32" s="202" t="s">
        <v>96</v>
      </c>
      <c r="D32" s="84"/>
      <c r="E32" s="84"/>
      <c r="F32" s="84"/>
      <c r="G32" s="84"/>
      <c r="J32" s="199" t="s">
        <v>92</v>
      </c>
      <c r="K32" s="196">
        <f>((K28*M28*O28)/Q29)</f>
        <v>3.5330851361520001</v>
      </c>
      <c r="L32" s="202" t="s">
        <v>96</v>
      </c>
      <c r="M32" s="84"/>
      <c r="N32" s="84"/>
      <c r="O32" s="84"/>
      <c r="P32" s="84"/>
      <c r="Q32" s="84"/>
      <c r="R32" s="84"/>
    </row>
    <row r="33" spans="1:18" ht="14.25" customHeight="1" x14ac:dyDescent="0.2">
      <c r="A33" s="84"/>
      <c r="B33" s="84"/>
      <c r="C33" s="194" t="s">
        <v>65</v>
      </c>
      <c r="D33" s="84"/>
      <c r="E33" s="84"/>
      <c r="F33" s="84"/>
      <c r="G33" s="84"/>
      <c r="J33" s="84"/>
      <c r="K33" s="84"/>
      <c r="L33" s="194" t="s">
        <v>65</v>
      </c>
      <c r="M33" s="84"/>
      <c r="N33" s="84"/>
      <c r="O33" s="84"/>
      <c r="P33" s="84"/>
      <c r="Q33" s="84"/>
      <c r="R33" s="84"/>
    </row>
    <row r="36" spans="1:18" ht="14.25" customHeight="1" x14ac:dyDescent="0.2">
      <c r="A36" s="84" t="s">
        <v>100</v>
      </c>
      <c r="B36" s="84"/>
      <c r="C36" s="84"/>
      <c r="D36" s="84"/>
      <c r="E36" s="84"/>
      <c r="F36" s="84"/>
      <c r="G36" s="84"/>
      <c r="J36" s="84" t="s">
        <v>100</v>
      </c>
      <c r="K36" s="84"/>
      <c r="L36" s="84"/>
      <c r="M36" s="84"/>
      <c r="N36" s="84"/>
      <c r="O36" s="84"/>
      <c r="P36" s="84"/>
      <c r="Q36" s="84"/>
      <c r="R36" s="84"/>
    </row>
    <row r="38" spans="1:18" ht="14.25" customHeight="1" x14ac:dyDescent="0.2">
      <c r="A38" s="199" t="s">
        <v>92</v>
      </c>
      <c r="B38" s="208">
        <v>0.33</v>
      </c>
      <c r="C38" s="200" t="s">
        <v>93</v>
      </c>
      <c r="D38" s="109">
        <f>B12</f>
        <v>79730260.680000007</v>
      </c>
      <c r="E38" s="200" t="s">
        <v>94</v>
      </c>
      <c r="F38" s="580" t="s">
        <v>243</v>
      </c>
      <c r="G38" s="580"/>
      <c r="H38" s="580" t="s">
        <v>96</v>
      </c>
      <c r="I38" s="580"/>
      <c r="J38" s="199" t="s">
        <v>92</v>
      </c>
      <c r="K38" s="554">
        <v>0.88</v>
      </c>
      <c r="L38" s="200" t="s">
        <v>93</v>
      </c>
      <c r="M38" s="109">
        <f>K12</f>
        <v>63371451</v>
      </c>
      <c r="N38" s="200" t="s">
        <v>94</v>
      </c>
      <c r="O38" s="554">
        <v>0.13800000000000001</v>
      </c>
      <c r="P38" s="200" t="s">
        <v>95</v>
      </c>
      <c r="Q38" s="554" t="s">
        <v>96</v>
      </c>
      <c r="R38" s="201"/>
    </row>
    <row r="39" spans="1:18" ht="14.25" customHeight="1" x14ac:dyDescent="0.2">
      <c r="A39" s="84"/>
      <c r="B39" s="147"/>
      <c r="C39" s="123" t="s">
        <v>136</v>
      </c>
      <c r="D39" s="576" t="s">
        <v>65</v>
      </c>
      <c r="E39" s="576"/>
      <c r="F39" s="147" t="s">
        <v>94</v>
      </c>
      <c r="G39" s="123"/>
      <c r="H39" s="147">
        <v>2000</v>
      </c>
      <c r="I39" s="123" t="s">
        <v>93</v>
      </c>
      <c r="J39" s="84"/>
      <c r="K39" s="147" t="s">
        <v>95</v>
      </c>
      <c r="L39" s="123"/>
      <c r="M39" s="147" t="s">
        <v>65</v>
      </c>
      <c r="N39" s="123"/>
      <c r="O39" s="147" t="s">
        <v>94</v>
      </c>
      <c r="P39" s="123"/>
      <c r="Q39" s="147">
        <v>2000</v>
      </c>
      <c r="R39" s="321" t="s">
        <v>93</v>
      </c>
    </row>
    <row r="42" spans="1:18" ht="14.25" customHeight="1" x14ac:dyDescent="0.2">
      <c r="A42" s="199" t="s">
        <v>92</v>
      </c>
      <c r="B42" s="196">
        <f>B38*D38*0.15/2000</f>
        <v>1973.3239518300002</v>
      </c>
      <c r="C42" s="202" t="s">
        <v>96</v>
      </c>
      <c r="D42" s="84"/>
      <c r="E42" s="84"/>
      <c r="F42" s="84"/>
      <c r="G42" s="84"/>
      <c r="J42" s="199" t="s">
        <v>92</v>
      </c>
      <c r="K42" s="196">
        <f>((K38*M38*O38)/Q39)</f>
        <v>3847.9145047200004</v>
      </c>
      <c r="L42" s="202" t="s">
        <v>96</v>
      </c>
      <c r="M42" s="84"/>
      <c r="N42" s="84"/>
      <c r="O42" s="84"/>
      <c r="P42" s="84"/>
      <c r="Q42" s="84"/>
      <c r="R42" s="84"/>
    </row>
    <row r="43" spans="1:18" ht="14.25" customHeight="1" x14ac:dyDescent="0.2">
      <c r="A43" s="84"/>
      <c r="B43" s="84"/>
      <c r="C43" s="194" t="s">
        <v>65</v>
      </c>
      <c r="D43" s="84"/>
      <c r="E43" s="84"/>
      <c r="F43" s="84"/>
      <c r="G43" s="84"/>
      <c r="J43" s="84"/>
      <c r="K43" s="84"/>
      <c r="L43" s="194" t="s">
        <v>65</v>
      </c>
      <c r="M43" s="84"/>
      <c r="N43" s="84"/>
      <c r="O43" s="84"/>
      <c r="P43" s="84"/>
      <c r="Q43" s="84"/>
      <c r="R43" s="84"/>
    </row>
    <row r="44" spans="1:18" ht="14.25" customHeight="1" x14ac:dyDescent="0.2">
      <c r="A44" s="84"/>
      <c r="B44" s="84"/>
      <c r="C44" s="194"/>
      <c r="D44" s="84"/>
      <c r="E44" s="84"/>
      <c r="F44" s="84"/>
      <c r="G44" s="84"/>
      <c r="J44" s="84"/>
      <c r="K44" s="84"/>
      <c r="L44" s="194"/>
      <c r="M44" s="84"/>
      <c r="N44" s="84"/>
      <c r="O44" s="84"/>
      <c r="P44" s="84"/>
      <c r="Q44" s="84"/>
      <c r="R44" s="84"/>
    </row>
    <row r="45" spans="1:18" ht="14.25" customHeight="1" x14ac:dyDescent="0.2">
      <c r="A45" s="84"/>
      <c r="B45" s="84"/>
      <c r="C45" s="194"/>
      <c r="D45" s="84"/>
      <c r="E45" s="84"/>
      <c r="F45" s="84"/>
      <c r="G45" s="84"/>
      <c r="J45" s="84"/>
      <c r="K45" s="84"/>
      <c r="L45" s="194"/>
      <c r="M45" s="84"/>
      <c r="N45" s="84"/>
      <c r="O45" s="84"/>
      <c r="P45" s="84"/>
      <c r="Q45" s="84"/>
      <c r="R45" s="84"/>
    </row>
    <row r="46" spans="1:18" ht="14.25" customHeight="1" x14ac:dyDescent="0.2">
      <c r="A46" s="84"/>
      <c r="B46" s="84"/>
      <c r="C46" s="194"/>
      <c r="D46" s="84"/>
      <c r="E46" s="84"/>
      <c r="F46" s="84"/>
      <c r="G46" s="84"/>
      <c r="J46" s="84"/>
      <c r="K46" s="84"/>
      <c r="L46" s="194"/>
      <c r="M46" s="84"/>
      <c r="N46" s="84"/>
      <c r="O46" s="84"/>
      <c r="P46" s="84"/>
      <c r="Q46" s="84"/>
      <c r="R46" s="84"/>
    </row>
    <row r="47" spans="1:18" ht="14.25" customHeight="1" x14ac:dyDescent="0.2">
      <c r="A47" s="84"/>
      <c r="B47" s="84"/>
      <c r="C47" s="194"/>
      <c r="D47" s="84"/>
      <c r="E47" s="84"/>
      <c r="F47" s="84"/>
      <c r="G47" s="84"/>
      <c r="J47" s="84"/>
      <c r="K47" s="84"/>
      <c r="L47" s="194"/>
      <c r="M47" s="84"/>
      <c r="N47" s="84"/>
      <c r="O47" s="84"/>
      <c r="P47" s="84"/>
      <c r="Q47" s="84"/>
      <c r="R47" s="84"/>
    </row>
    <row r="48" spans="1:18" ht="14.25" customHeight="1" x14ac:dyDescent="0.2">
      <c r="A48" s="84" t="s">
        <v>101</v>
      </c>
      <c r="B48" s="84"/>
      <c r="C48" s="84"/>
      <c r="D48" s="84"/>
      <c r="E48" s="84"/>
      <c r="F48" s="84"/>
      <c r="G48" s="84"/>
      <c r="J48" s="84" t="s">
        <v>101</v>
      </c>
      <c r="K48" s="84"/>
      <c r="L48" s="84"/>
      <c r="M48" s="84"/>
      <c r="N48" s="84"/>
      <c r="O48" s="84"/>
      <c r="P48" s="84"/>
      <c r="Q48" s="84"/>
      <c r="R48" s="84"/>
    </row>
    <row r="50" spans="1:18" ht="14.25" customHeight="1" x14ac:dyDescent="0.2">
      <c r="A50" s="199" t="s">
        <v>92</v>
      </c>
      <c r="B50" s="554">
        <v>0.76</v>
      </c>
      <c r="C50" s="200" t="s">
        <v>93</v>
      </c>
      <c r="D50" s="109">
        <f>B12</f>
        <v>79730260.680000007</v>
      </c>
      <c r="E50" s="200" t="s">
        <v>94</v>
      </c>
      <c r="F50" s="580" t="s">
        <v>96</v>
      </c>
      <c r="G50" s="580"/>
      <c r="J50" s="199" t="s">
        <v>92</v>
      </c>
      <c r="K50" s="554">
        <v>4.0999999999999999E-4</v>
      </c>
      <c r="L50" s="200" t="s">
        <v>93</v>
      </c>
      <c r="M50" s="109">
        <f>K12</f>
        <v>63371451</v>
      </c>
      <c r="N50" s="200" t="s">
        <v>94</v>
      </c>
      <c r="O50" s="554">
        <v>0.13800000000000001</v>
      </c>
      <c r="P50" s="200" t="s">
        <v>95</v>
      </c>
      <c r="Q50" s="554" t="s">
        <v>96</v>
      </c>
      <c r="R50" s="201"/>
    </row>
    <row r="51" spans="1:18" ht="14.25" customHeight="1" x14ac:dyDescent="0.2">
      <c r="A51" s="84"/>
      <c r="B51" s="147">
        <v>1000</v>
      </c>
      <c r="C51" s="123" t="s">
        <v>94</v>
      </c>
      <c r="D51" s="576" t="s">
        <v>65</v>
      </c>
      <c r="E51" s="576"/>
      <c r="F51" s="147">
        <v>2000</v>
      </c>
      <c r="G51" s="123" t="s">
        <v>93</v>
      </c>
      <c r="J51" s="84"/>
      <c r="K51" s="147" t="s">
        <v>95</v>
      </c>
      <c r="L51" s="123"/>
      <c r="M51" s="147" t="s">
        <v>65</v>
      </c>
      <c r="N51" s="123"/>
      <c r="O51" s="147" t="s">
        <v>94</v>
      </c>
      <c r="P51" s="123"/>
      <c r="Q51" s="147">
        <v>2000</v>
      </c>
      <c r="R51" s="321" t="s">
        <v>93</v>
      </c>
    </row>
    <row r="54" spans="1:18" ht="14.25" customHeight="1" x14ac:dyDescent="0.2">
      <c r="A54" s="199" t="s">
        <v>92</v>
      </c>
      <c r="B54" s="196">
        <f>((B50/B51)*D50)/F51</f>
        <v>30.297499058400003</v>
      </c>
      <c r="C54" s="202" t="s">
        <v>96</v>
      </c>
      <c r="D54" s="84"/>
      <c r="E54" s="84"/>
      <c r="F54" s="84"/>
      <c r="G54" s="84"/>
      <c r="J54" s="199" t="s">
        <v>92</v>
      </c>
      <c r="K54" s="196">
        <f>((K50*M50*O50)/Q51)</f>
        <v>1.7927783487900002</v>
      </c>
      <c r="L54" s="202" t="s">
        <v>96</v>
      </c>
      <c r="M54" s="84"/>
      <c r="N54" s="84"/>
      <c r="O54" s="84"/>
      <c r="P54" s="84"/>
      <c r="Q54" s="84"/>
      <c r="R54" s="84"/>
    </row>
    <row r="55" spans="1:18" ht="14.25" customHeight="1" x14ac:dyDescent="0.2">
      <c r="A55" s="84"/>
      <c r="B55" s="84"/>
      <c r="C55" s="194" t="s">
        <v>65</v>
      </c>
      <c r="D55" s="84"/>
      <c r="E55" s="84"/>
      <c r="F55" s="84"/>
      <c r="G55" s="84"/>
      <c r="J55" s="84"/>
      <c r="K55" s="84"/>
      <c r="L55" s="194" t="s">
        <v>65</v>
      </c>
      <c r="M55" s="84"/>
      <c r="N55" s="84"/>
      <c r="O55" s="84"/>
      <c r="P55" s="84"/>
      <c r="Q55" s="84"/>
      <c r="R55" s="84"/>
    </row>
    <row r="58" spans="1:18" ht="14.25" customHeight="1" x14ac:dyDescent="0.2">
      <c r="A58" s="84" t="s">
        <v>102</v>
      </c>
      <c r="B58" s="84"/>
      <c r="C58" s="84"/>
      <c r="D58" s="84"/>
      <c r="E58" s="84"/>
      <c r="F58" s="84"/>
      <c r="G58" s="84"/>
      <c r="J58" s="84" t="s">
        <v>102</v>
      </c>
      <c r="K58" s="84"/>
      <c r="L58" s="84"/>
      <c r="M58" s="84"/>
      <c r="N58" s="84"/>
      <c r="O58" s="84"/>
      <c r="P58" s="84"/>
      <c r="Q58" s="84"/>
      <c r="R58" s="84"/>
    </row>
    <row r="60" spans="1:18" ht="14.25" customHeight="1" x14ac:dyDescent="0.2">
      <c r="A60" s="199" t="s">
        <v>92</v>
      </c>
      <c r="B60" s="554">
        <v>5</v>
      </c>
      <c r="C60" s="200" t="s">
        <v>93</v>
      </c>
      <c r="D60" s="109">
        <f>B12</f>
        <v>79730260.680000007</v>
      </c>
      <c r="E60" s="200" t="s">
        <v>94</v>
      </c>
      <c r="F60" s="580" t="s">
        <v>96</v>
      </c>
      <c r="G60" s="580"/>
      <c r="J60" s="199" t="s">
        <v>92</v>
      </c>
      <c r="K60" s="554">
        <v>3.3E-3</v>
      </c>
      <c r="L60" s="200" t="s">
        <v>93</v>
      </c>
      <c r="M60" s="109">
        <f>K12</f>
        <v>63371451</v>
      </c>
      <c r="N60" s="200" t="s">
        <v>94</v>
      </c>
      <c r="O60" s="554">
        <v>0.13800000000000001</v>
      </c>
      <c r="P60" s="200" t="s">
        <v>95</v>
      </c>
      <c r="Q60" s="554" t="s">
        <v>96</v>
      </c>
      <c r="R60" s="201"/>
    </row>
    <row r="61" spans="1:18" ht="14.25" customHeight="1" x14ac:dyDescent="0.2">
      <c r="A61" s="84"/>
      <c r="B61" s="147">
        <v>1000</v>
      </c>
      <c r="C61" s="123" t="s">
        <v>94</v>
      </c>
      <c r="D61" s="576" t="s">
        <v>65</v>
      </c>
      <c r="E61" s="576"/>
      <c r="F61" s="147">
        <v>2000</v>
      </c>
      <c r="G61" s="123" t="s">
        <v>93</v>
      </c>
      <c r="J61" s="84"/>
      <c r="K61" s="147" t="s">
        <v>95</v>
      </c>
      <c r="L61" s="123"/>
      <c r="M61" s="147" t="s">
        <v>65</v>
      </c>
      <c r="N61" s="123"/>
      <c r="O61" s="147" t="s">
        <v>94</v>
      </c>
      <c r="P61" s="123"/>
      <c r="Q61" s="147">
        <v>2000</v>
      </c>
      <c r="R61" s="321" t="s">
        <v>93</v>
      </c>
    </row>
    <row r="64" spans="1:18" ht="14.25" customHeight="1" x14ac:dyDescent="0.2">
      <c r="A64" s="199" t="s">
        <v>92</v>
      </c>
      <c r="B64" s="196">
        <f>((B60/B61)*D60)/F61</f>
        <v>199.32565170000001</v>
      </c>
      <c r="C64" s="202" t="s">
        <v>96</v>
      </c>
      <c r="D64" s="84"/>
      <c r="E64" s="84"/>
      <c r="F64" s="84"/>
      <c r="G64" s="84"/>
      <c r="J64" s="199" t="s">
        <v>92</v>
      </c>
      <c r="K64" s="196">
        <f>((K60*M60*O60)/Q61)</f>
        <v>14.429679392700001</v>
      </c>
      <c r="L64" s="202" t="s">
        <v>96</v>
      </c>
      <c r="M64" s="84"/>
      <c r="N64" s="84"/>
      <c r="O64" s="84"/>
      <c r="P64" s="84"/>
      <c r="Q64" s="84"/>
      <c r="R64" s="84"/>
    </row>
    <row r="65" spans="1:18" ht="14.25" customHeight="1" x14ac:dyDescent="0.2">
      <c r="A65" s="84"/>
      <c r="B65" s="84"/>
      <c r="C65" s="194" t="s">
        <v>65</v>
      </c>
      <c r="D65" s="84"/>
      <c r="E65" s="84"/>
      <c r="F65" s="84"/>
      <c r="G65" s="84"/>
      <c r="J65" s="84"/>
      <c r="K65" s="84"/>
      <c r="L65" s="194" t="s">
        <v>65</v>
      </c>
      <c r="M65" s="84"/>
      <c r="N65" s="84"/>
      <c r="O65" s="84"/>
      <c r="P65" s="84"/>
      <c r="Q65" s="84"/>
      <c r="R65" s="84"/>
    </row>
    <row r="68" spans="1:18" ht="14.25" customHeight="1" x14ac:dyDescent="0.2">
      <c r="A68" s="84" t="s">
        <v>103</v>
      </c>
      <c r="B68" s="84"/>
      <c r="C68" s="84"/>
      <c r="D68" s="84"/>
      <c r="E68" s="84"/>
      <c r="F68" s="84"/>
      <c r="G68" s="84"/>
      <c r="J68" s="84" t="s">
        <v>103</v>
      </c>
      <c r="K68" s="84"/>
      <c r="L68" s="84"/>
      <c r="M68" s="84"/>
      <c r="N68" s="84"/>
      <c r="O68" s="84"/>
      <c r="P68" s="84"/>
      <c r="Q68" s="84"/>
      <c r="R68" s="84"/>
    </row>
    <row r="70" spans="1:18" ht="14.25" customHeight="1" x14ac:dyDescent="0.2">
      <c r="A70" s="199" t="s">
        <v>92</v>
      </c>
      <c r="B70" s="554">
        <v>1.5100000000000001E-3</v>
      </c>
      <c r="C70" s="200" t="s">
        <v>93</v>
      </c>
      <c r="D70" s="109">
        <f>B12</f>
        <v>79730260.680000007</v>
      </c>
      <c r="E70" s="200" t="s">
        <v>94</v>
      </c>
      <c r="F70" s="580" t="s">
        <v>96</v>
      </c>
      <c r="G70" s="580"/>
      <c r="J70" s="199" t="s">
        <v>92</v>
      </c>
      <c r="K70" s="554">
        <v>1.4E-5</v>
      </c>
      <c r="L70" s="200" t="s">
        <v>93</v>
      </c>
      <c r="M70" s="109">
        <f>K12</f>
        <v>63371451</v>
      </c>
      <c r="N70" s="200" t="s">
        <v>94</v>
      </c>
      <c r="O70" s="554">
        <v>0.13800000000000001</v>
      </c>
      <c r="P70" s="200" t="s">
        <v>95</v>
      </c>
      <c r="Q70" s="554" t="s">
        <v>96</v>
      </c>
      <c r="R70" s="201"/>
    </row>
    <row r="71" spans="1:18" ht="14.25" customHeight="1" x14ac:dyDescent="0.2">
      <c r="A71" s="84"/>
      <c r="B71" s="147">
        <v>1000</v>
      </c>
      <c r="C71" s="123" t="s">
        <v>94</v>
      </c>
      <c r="D71" s="576" t="s">
        <v>65</v>
      </c>
      <c r="E71" s="576"/>
      <c r="F71" s="147">
        <v>2000</v>
      </c>
      <c r="G71" s="123" t="s">
        <v>93</v>
      </c>
      <c r="J71" s="84"/>
      <c r="K71" s="147" t="s">
        <v>95</v>
      </c>
      <c r="L71" s="123"/>
      <c r="M71" s="147" t="s">
        <v>65</v>
      </c>
      <c r="N71" s="123"/>
      <c r="O71" s="147" t="s">
        <v>94</v>
      </c>
      <c r="P71" s="123"/>
      <c r="Q71" s="147">
        <v>2000</v>
      </c>
      <c r="R71" s="321" t="s">
        <v>93</v>
      </c>
    </row>
    <row r="74" spans="1:18" ht="14.25" customHeight="1" x14ac:dyDescent="0.2">
      <c r="A74" s="199" t="s">
        <v>92</v>
      </c>
      <c r="B74" s="196">
        <f>((B70/B71)*D70)/F71</f>
        <v>6.0196346813400012E-2</v>
      </c>
      <c r="C74" s="202" t="s">
        <v>96</v>
      </c>
      <c r="D74" s="84"/>
      <c r="E74" s="84"/>
      <c r="F74" s="84"/>
      <c r="G74" s="84"/>
      <c r="J74" s="199" t="s">
        <v>92</v>
      </c>
      <c r="K74" s="196">
        <f>((K70*M70*O70)/Q71)</f>
        <v>6.1216821666000003E-2</v>
      </c>
      <c r="L74" s="202" t="s">
        <v>96</v>
      </c>
      <c r="M74" s="84"/>
      <c r="N74" s="84"/>
      <c r="O74" s="84"/>
      <c r="P74" s="84"/>
      <c r="Q74" s="84"/>
      <c r="R74" s="84"/>
    </row>
    <row r="75" spans="1:18" ht="14.25" customHeight="1" x14ac:dyDescent="0.2">
      <c r="A75" s="84"/>
      <c r="B75" s="84"/>
      <c r="C75" s="194" t="s">
        <v>65</v>
      </c>
      <c r="D75" s="84"/>
      <c r="E75" s="84"/>
      <c r="F75" s="84"/>
      <c r="G75" s="84"/>
      <c r="J75" s="84"/>
      <c r="K75" s="84"/>
      <c r="L75" s="194" t="s">
        <v>65</v>
      </c>
      <c r="M75" s="84"/>
      <c r="N75" s="84"/>
      <c r="O75" s="84"/>
      <c r="P75" s="84"/>
      <c r="Q75" s="84"/>
      <c r="R75" s="84"/>
    </row>
    <row r="78" spans="1:18" ht="14.25" customHeight="1" x14ac:dyDescent="0.2">
      <c r="A78" s="84" t="s">
        <v>104</v>
      </c>
      <c r="B78" s="84"/>
      <c r="C78" s="84"/>
      <c r="D78" s="84"/>
      <c r="E78" s="84"/>
      <c r="F78" s="84"/>
      <c r="G78" s="84"/>
      <c r="J78" s="84" t="s">
        <v>104</v>
      </c>
      <c r="K78" s="84"/>
      <c r="L78" s="84"/>
      <c r="M78" s="84"/>
      <c r="N78" s="84"/>
      <c r="O78" s="84"/>
      <c r="P78" s="84"/>
      <c r="Q78" s="84"/>
      <c r="R78" s="84"/>
    </row>
    <row r="80" spans="1:18" ht="14.25" customHeight="1" x14ac:dyDescent="0.2">
      <c r="A80" s="199" t="s">
        <v>92</v>
      </c>
      <c r="B80" s="205">
        <f>V12</f>
        <v>25.035941452772921</v>
      </c>
      <c r="C80" s="200" t="s">
        <v>93</v>
      </c>
      <c r="D80" s="109">
        <f>B12</f>
        <v>79730260.680000007</v>
      </c>
      <c r="E80" s="200" t="s">
        <v>94</v>
      </c>
      <c r="F80" s="580" t="s">
        <v>96</v>
      </c>
      <c r="G80" s="580"/>
      <c r="J80" s="199" t="s">
        <v>92</v>
      </c>
      <c r="K80" s="205">
        <f>V13</f>
        <v>22.579333304640002</v>
      </c>
      <c r="L80" s="200" t="s">
        <v>93</v>
      </c>
      <c r="M80" s="109">
        <f>K12</f>
        <v>63371451</v>
      </c>
      <c r="N80" s="200" t="s">
        <v>94</v>
      </c>
      <c r="O80" s="580" t="s">
        <v>96</v>
      </c>
      <c r="P80" s="580"/>
    </row>
    <row r="81" spans="1:16" ht="14.25" customHeight="1" x14ac:dyDescent="0.2">
      <c r="A81" s="84"/>
      <c r="B81" s="147"/>
      <c r="C81" s="123" t="s">
        <v>94</v>
      </c>
      <c r="D81" s="576" t="s">
        <v>65</v>
      </c>
      <c r="E81" s="576"/>
      <c r="F81" s="147">
        <v>2000</v>
      </c>
      <c r="G81" s="123" t="s">
        <v>93</v>
      </c>
      <c r="J81" s="84"/>
      <c r="K81" s="147"/>
      <c r="L81" s="123" t="s">
        <v>94</v>
      </c>
      <c r="M81" s="576" t="s">
        <v>65</v>
      </c>
      <c r="N81" s="576"/>
      <c r="O81" s="147">
        <v>2000</v>
      </c>
      <c r="P81" s="123" t="s">
        <v>93</v>
      </c>
    </row>
    <row r="84" spans="1:16" ht="14.25" customHeight="1" x14ac:dyDescent="0.2">
      <c r="A84" s="199" t="s">
        <v>92</v>
      </c>
      <c r="B84" s="196">
        <f>B80*D80/F81</f>
        <v>998061.06919940154</v>
      </c>
      <c r="C84" s="202" t="s">
        <v>96</v>
      </c>
      <c r="D84" s="84"/>
      <c r="E84" s="84"/>
      <c r="F84" s="84"/>
      <c r="G84" s="84"/>
      <c r="J84" s="199" t="s">
        <v>92</v>
      </c>
      <c r="K84" s="196">
        <f>K80*M80/O81</f>
        <v>715442.55706383102</v>
      </c>
      <c r="L84" s="202" t="s">
        <v>96</v>
      </c>
      <c r="M84" s="84"/>
      <c r="N84" s="84"/>
      <c r="O84" s="84"/>
      <c r="P84" s="84"/>
    </row>
    <row r="85" spans="1:16" ht="14.25" customHeight="1" x14ac:dyDescent="0.2">
      <c r="A85" s="84"/>
      <c r="B85" s="84"/>
      <c r="C85" s="194" t="s">
        <v>65</v>
      </c>
      <c r="D85" s="84"/>
      <c r="E85" s="84"/>
      <c r="F85" s="84"/>
      <c r="G85" s="84"/>
      <c r="J85" s="84"/>
      <c r="K85" s="84"/>
      <c r="L85" s="194" t="s">
        <v>65</v>
      </c>
      <c r="M85" s="84"/>
      <c r="N85" s="84"/>
      <c r="O85" s="84"/>
      <c r="P85" s="84"/>
    </row>
  </sheetData>
  <mergeCells count="24">
    <mergeCell ref="O80:P80"/>
    <mergeCell ref="D81:E81"/>
    <mergeCell ref="M81:N81"/>
    <mergeCell ref="F60:G60"/>
    <mergeCell ref="D61:E61"/>
    <mergeCell ref="F70:G70"/>
    <mergeCell ref="D71:E71"/>
    <mergeCell ref="F80:G80"/>
    <mergeCell ref="F38:G38"/>
    <mergeCell ref="H38:I38"/>
    <mergeCell ref="D39:E39"/>
    <mergeCell ref="F50:G50"/>
    <mergeCell ref="D51:E51"/>
    <mergeCell ref="D19:E19"/>
    <mergeCell ref="M19:N19"/>
    <mergeCell ref="C23:D23"/>
    <mergeCell ref="F28:G28"/>
    <mergeCell ref="D29:E29"/>
    <mergeCell ref="M29:N29"/>
    <mergeCell ref="A1:I1"/>
    <mergeCell ref="J1:R1"/>
    <mergeCell ref="A3:D3"/>
    <mergeCell ref="J3:L3"/>
    <mergeCell ref="F18:G1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84"/>
  <sheetViews>
    <sheetView zoomScaleNormal="100" workbookViewId="0">
      <selection activeCell="L24" sqref="L24"/>
    </sheetView>
  </sheetViews>
  <sheetFormatPr defaultColWidth="8.85546875" defaultRowHeight="15" x14ac:dyDescent="0.25"/>
  <cols>
    <col min="1" max="1" width="10.7109375" style="24" customWidth="1"/>
    <col min="2" max="2" width="17.5703125" style="24" customWidth="1"/>
    <col min="3" max="3" width="14.42578125" style="24" customWidth="1"/>
    <col min="4" max="4" width="16.5703125" style="24" customWidth="1"/>
    <col min="5" max="5" width="14.85546875" style="24" customWidth="1"/>
    <col min="6" max="6" width="9.5703125" style="24" customWidth="1"/>
    <col min="7" max="7" width="8.85546875" style="24"/>
    <col min="8" max="8" width="15" style="24" customWidth="1"/>
    <col min="9" max="9" width="8.85546875" style="24"/>
    <col min="10" max="10" width="10" style="24" customWidth="1"/>
    <col min="11" max="11" width="17.28515625" style="24" customWidth="1"/>
    <col min="12" max="12" width="13.42578125" style="24" customWidth="1"/>
    <col min="13" max="16384" width="8.85546875" style="24"/>
  </cols>
  <sheetData>
    <row r="2" spans="1:16" ht="14.25" customHeight="1" x14ac:dyDescent="0.25">
      <c r="A2" s="565" t="s">
        <v>244</v>
      </c>
      <c r="B2" s="565"/>
      <c r="C2" s="565"/>
      <c r="D2" s="565"/>
      <c r="E2" s="565"/>
      <c r="F2" s="565"/>
      <c r="G2" s="565"/>
      <c r="H2" s="565"/>
      <c r="I2" s="565"/>
    </row>
    <row r="3" spans="1:16" ht="14.25" customHeight="1" x14ac:dyDescent="0.25">
      <c r="A3" s="578" t="s">
        <v>245</v>
      </c>
      <c r="B3" s="578"/>
      <c r="C3" s="578"/>
      <c r="D3" s="578"/>
      <c r="E3" s="578"/>
      <c r="F3" s="578" t="s">
        <v>63</v>
      </c>
      <c r="G3" s="578"/>
      <c r="H3" s="578"/>
      <c r="I3" s="578"/>
      <c r="M3" s="585"/>
      <c r="N3" s="585"/>
      <c r="O3" s="585"/>
      <c r="P3" s="585"/>
    </row>
    <row r="4" spans="1:16" ht="14.25" customHeight="1" x14ac:dyDescent="0.25">
      <c r="A4" s="26" t="s">
        <v>65</v>
      </c>
      <c r="B4" s="31" t="s">
        <v>246</v>
      </c>
      <c r="C4" s="246" t="s">
        <v>247</v>
      </c>
      <c r="D4" s="246" t="s">
        <v>248</v>
      </c>
      <c r="E4" s="30" t="s">
        <v>249</v>
      </c>
      <c r="F4" s="555" t="s">
        <v>246</v>
      </c>
      <c r="G4" s="246" t="s">
        <v>247</v>
      </c>
      <c r="H4" s="246" t="s">
        <v>248</v>
      </c>
      <c r="I4" s="32" t="s">
        <v>249</v>
      </c>
      <c r="M4" s="556"/>
      <c r="N4" s="556"/>
      <c r="O4" s="556"/>
      <c r="P4" s="556"/>
    </row>
    <row r="5" spans="1:16" ht="14.25" customHeight="1" x14ac:dyDescent="0.25">
      <c r="A5" s="33">
        <v>45658</v>
      </c>
      <c r="B5" s="217">
        <v>0</v>
      </c>
      <c r="C5" s="217">
        <v>0</v>
      </c>
      <c r="D5" s="217">
        <v>6796230</v>
      </c>
      <c r="E5" s="217">
        <v>0</v>
      </c>
      <c r="F5" s="217" t="s">
        <v>131</v>
      </c>
      <c r="G5" s="35" t="s">
        <v>131</v>
      </c>
      <c r="H5" s="217">
        <v>0.49</v>
      </c>
      <c r="I5" s="324">
        <v>0.49</v>
      </c>
      <c r="M5" s="168"/>
      <c r="N5" s="168"/>
      <c r="O5" s="168"/>
      <c r="P5" s="168"/>
    </row>
    <row r="6" spans="1:16" ht="14.25" customHeight="1" x14ac:dyDescent="0.25">
      <c r="A6" s="39">
        <v>45689</v>
      </c>
      <c r="B6" s="228">
        <v>0</v>
      </c>
      <c r="C6" s="228">
        <v>0</v>
      </c>
      <c r="D6" s="228">
        <v>6456156</v>
      </c>
      <c r="E6" s="228">
        <v>0</v>
      </c>
      <c r="F6" s="228" t="s">
        <v>131</v>
      </c>
      <c r="G6" s="41" t="s">
        <v>131</v>
      </c>
      <c r="H6" s="228">
        <v>0.49</v>
      </c>
      <c r="I6" s="325">
        <v>0.49</v>
      </c>
      <c r="M6" s="168"/>
      <c r="N6" s="168"/>
      <c r="O6" s="168"/>
      <c r="P6" s="168"/>
    </row>
    <row r="7" spans="1:16" ht="14.25" customHeight="1" x14ac:dyDescent="0.25">
      <c r="A7" s="39">
        <v>45717</v>
      </c>
      <c r="B7" s="228">
        <v>0</v>
      </c>
      <c r="C7" s="228">
        <v>0</v>
      </c>
      <c r="D7" s="228">
        <v>6152916</v>
      </c>
      <c r="E7" s="228">
        <v>0</v>
      </c>
      <c r="F7" s="228" t="s">
        <v>131</v>
      </c>
      <c r="G7" s="41" t="s">
        <v>131</v>
      </c>
      <c r="H7" s="228">
        <v>0.5</v>
      </c>
      <c r="I7" s="325">
        <v>0.5</v>
      </c>
      <c r="M7" s="168"/>
      <c r="N7" s="168"/>
      <c r="O7" s="168"/>
      <c r="P7" s="168"/>
    </row>
    <row r="8" spans="1:16" ht="14.25" customHeight="1" x14ac:dyDescent="0.25">
      <c r="A8" s="39">
        <v>45748</v>
      </c>
      <c r="B8" s="228">
        <v>0</v>
      </c>
      <c r="C8" s="228">
        <v>0</v>
      </c>
      <c r="D8" s="228">
        <v>5487594</v>
      </c>
      <c r="E8" s="228">
        <v>0</v>
      </c>
      <c r="F8" s="228" t="s">
        <v>131</v>
      </c>
      <c r="G8" s="41" t="s">
        <v>131</v>
      </c>
      <c r="H8" s="228">
        <v>0.49</v>
      </c>
      <c r="I8" s="325">
        <v>0.49</v>
      </c>
      <c r="M8" s="168"/>
      <c r="N8" s="168"/>
      <c r="O8" s="168"/>
      <c r="P8" s="168"/>
    </row>
    <row r="9" spans="1:16" ht="14.25" customHeight="1" x14ac:dyDescent="0.25">
      <c r="A9" s="39">
        <v>45778</v>
      </c>
      <c r="B9" s="228">
        <v>0</v>
      </c>
      <c r="C9" s="228">
        <v>0</v>
      </c>
      <c r="D9" s="228">
        <v>6883422</v>
      </c>
      <c r="E9" s="228">
        <v>0</v>
      </c>
      <c r="F9" s="228" t="s">
        <v>131</v>
      </c>
      <c r="G9" s="41" t="s">
        <v>131</v>
      </c>
      <c r="H9" s="228">
        <v>0.49</v>
      </c>
      <c r="I9" s="325">
        <v>0.49</v>
      </c>
      <c r="M9" s="168"/>
      <c r="N9" s="168"/>
      <c r="O9" s="168"/>
      <c r="P9" s="168"/>
    </row>
    <row r="10" spans="1:16" ht="14.25" customHeight="1" x14ac:dyDescent="0.25">
      <c r="A10" s="39">
        <v>45809</v>
      </c>
      <c r="B10" s="228">
        <v>0</v>
      </c>
      <c r="C10" s="228">
        <v>0</v>
      </c>
      <c r="D10" s="228">
        <v>4579974</v>
      </c>
      <c r="E10" s="228">
        <v>0</v>
      </c>
      <c r="F10" s="228" t="s">
        <v>131</v>
      </c>
      <c r="G10" s="41" t="s">
        <v>131</v>
      </c>
      <c r="H10" s="228">
        <v>0.49</v>
      </c>
      <c r="I10" s="325">
        <v>0.49</v>
      </c>
      <c r="M10" s="168"/>
      <c r="N10" s="168"/>
      <c r="O10" s="168"/>
      <c r="P10" s="168"/>
    </row>
    <row r="11" spans="1:16" ht="14.25" customHeight="1" x14ac:dyDescent="0.25">
      <c r="A11" s="39">
        <v>45839</v>
      </c>
      <c r="B11" s="228">
        <v>0</v>
      </c>
      <c r="C11" s="41">
        <v>0</v>
      </c>
      <c r="D11" s="228">
        <v>5758242</v>
      </c>
      <c r="E11" s="41">
        <v>0</v>
      </c>
      <c r="F11" s="228" t="s">
        <v>131</v>
      </c>
      <c r="G11" s="41" t="s">
        <v>131</v>
      </c>
      <c r="H11" s="228">
        <v>0.48</v>
      </c>
      <c r="I11" s="325">
        <v>0.48</v>
      </c>
      <c r="M11" s="168"/>
      <c r="N11" s="168"/>
      <c r="O11" s="168"/>
      <c r="P11" s="168"/>
    </row>
    <row r="12" spans="1:16" ht="14.25" customHeight="1" x14ac:dyDescent="0.25">
      <c r="A12" s="39">
        <v>45870</v>
      </c>
      <c r="B12" s="228">
        <v>0</v>
      </c>
      <c r="C12" s="41">
        <v>0</v>
      </c>
      <c r="D12" s="228">
        <v>5941488</v>
      </c>
      <c r="E12" s="41">
        <v>0</v>
      </c>
      <c r="F12" s="228" t="s">
        <v>131</v>
      </c>
      <c r="G12" s="41" t="s">
        <v>131</v>
      </c>
      <c r="H12" s="228">
        <v>0.44</v>
      </c>
      <c r="I12" s="325">
        <v>0.44</v>
      </c>
      <c r="M12" s="168"/>
      <c r="N12" s="168"/>
      <c r="O12" s="168"/>
      <c r="P12" s="168"/>
    </row>
    <row r="13" spans="1:16" ht="14.25" customHeight="1" x14ac:dyDescent="0.25">
      <c r="A13" s="39">
        <v>45901</v>
      </c>
      <c r="B13" s="228">
        <v>0</v>
      </c>
      <c r="C13" s="41">
        <v>0</v>
      </c>
      <c r="D13" s="228">
        <v>4899379</v>
      </c>
      <c r="E13" s="41">
        <v>640169</v>
      </c>
      <c r="F13" s="228" t="s">
        <v>131</v>
      </c>
      <c r="G13" s="41" t="s">
        <v>131</v>
      </c>
      <c r="H13" s="228">
        <v>0.42</v>
      </c>
      <c r="I13" s="325">
        <v>0.39</v>
      </c>
      <c r="K13" s="326" t="s">
        <v>250</v>
      </c>
      <c r="M13" s="168"/>
      <c r="N13" s="168"/>
      <c r="O13" s="168"/>
      <c r="P13" s="168"/>
    </row>
    <row r="14" spans="1:16" ht="14.25" customHeight="1" x14ac:dyDescent="0.25">
      <c r="A14" s="39">
        <v>45931</v>
      </c>
      <c r="B14" s="228">
        <v>0</v>
      </c>
      <c r="C14" s="41">
        <v>0</v>
      </c>
      <c r="D14" s="228">
        <v>4679906</v>
      </c>
      <c r="E14" s="41">
        <v>5581954</v>
      </c>
      <c r="F14" s="228" t="s">
        <v>131</v>
      </c>
      <c r="G14" s="41" t="s">
        <v>131</v>
      </c>
      <c r="H14" s="228">
        <v>0.47</v>
      </c>
      <c r="I14" s="325">
        <v>0.47</v>
      </c>
      <c r="K14" s="327">
        <f>SUM(B18+C18+D18+E18)</f>
        <v>81976020</v>
      </c>
      <c r="M14" s="168"/>
      <c r="N14" s="168"/>
      <c r="O14" s="168"/>
      <c r="P14" s="168"/>
    </row>
    <row r="15" spans="1:16" ht="14.25" customHeight="1" x14ac:dyDescent="0.25">
      <c r="A15" s="39">
        <v>45962</v>
      </c>
      <c r="B15" s="228">
        <v>0</v>
      </c>
      <c r="C15" s="41">
        <v>0</v>
      </c>
      <c r="D15" s="228">
        <v>4654389</v>
      </c>
      <c r="E15" s="41">
        <v>2650251</v>
      </c>
      <c r="F15" s="228" t="s">
        <v>131</v>
      </c>
      <c r="G15" s="41" t="s">
        <v>131</v>
      </c>
      <c r="H15" s="228">
        <v>0.45</v>
      </c>
      <c r="I15" s="325">
        <v>0.44</v>
      </c>
      <c r="M15" s="168"/>
      <c r="N15" s="168"/>
      <c r="O15" s="168"/>
      <c r="P15" s="168"/>
    </row>
    <row r="16" spans="1:16" ht="14.25" customHeight="1" x14ac:dyDescent="0.25">
      <c r="A16" s="46">
        <v>45992</v>
      </c>
      <c r="B16" s="232">
        <v>0</v>
      </c>
      <c r="C16" s="48">
        <v>0</v>
      </c>
      <c r="D16" s="232">
        <v>5200118</v>
      </c>
      <c r="E16" s="48">
        <v>5613832</v>
      </c>
      <c r="F16" s="232" t="s">
        <v>131</v>
      </c>
      <c r="G16" s="48" t="s">
        <v>131</v>
      </c>
      <c r="H16" s="328">
        <v>0.44</v>
      </c>
      <c r="I16" s="329">
        <v>0.45</v>
      </c>
      <c r="M16" s="168"/>
      <c r="N16" s="168"/>
      <c r="O16" s="168"/>
      <c r="P16" s="168"/>
    </row>
    <row r="17" spans="1:16" ht="14.25" customHeight="1" x14ac:dyDescent="0.25">
      <c r="A17" s="330" t="s">
        <v>26</v>
      </c>
      <c r="B17" s="331">
        <f>SUM(B5:B16)</f>
        <v>0</v>
      </c>
      <c r="C17" s="286">
        <f>SUM(C11:C16)</f>
        <v>0</v>
      </c>
      <c r="D17" s="286">
        <f>SUM(D5:D16)</f>
        <v>67489814</v>
      </c>
      <c r="E17" s="287">
        <f>SUM(E5:E16)</f>
        <v>14486206</v>
      </c>
      <c r="F17" s="332" t="s">
        <v>131</v>
      </c>
      <c r="G17" s="333" t="s">
        <v>131</v>
      </c>
      <c r="H17" s="333">
        <f>AVERAGE(H5:H16)</f>
        <v>0.47083333333333338</v>
      </c>
      <c r="I17" s="334">
        <f>AVERAGE(I5:I16)</f>
        <v>0.46833333333333332</v>
      </c>
      <c r="M17" s="295"/>
      <c r="N17" s="295"/>
      <c r="O17" s="295"/>
      <c r="P17" s="295"/>
    </row>
    <row r="18" spans="1:16" ht="28.5" customHeight="1" x14ac:dyDescent="0.25">
      <c r="A18" s="335" t="s">
        <v>251</v>
      </c>
      <c r="B18" s="336">
        <f>B17*42</f>
        <v>0</v>
      </c>
      <c r="C18" s="337">
        <f>C17*42</f>
        <v>0</v>
      </c>
      <c r="D18" s="337">
        <f>SUM(D17)</f>
        <v>67489814</v>
      </c>
      <c r="E18" s="337">
        <f>SUM(E17)</f>
        <v>14486206</v>
      </c>
      <c r="F18" s="338" t="s">
        <v>131</v>
      </c>
      <c r="G18" s="274" t="s">
        <v>131</v>
      </c>
      <c r="H18" s="274">
        <f>AVERAGE(H5:H16)</f>
        <v>0.47083333333333338</v>
      </c>
      <c r="I18" s="284">
        <f>AVERAGE(I5:I16)</f>
        <v>0.46833333333333332</v>
      </c>
    </row>
    <row r="36" spans="1:14" ht="14.25" customHeight="1" x14ac:dyDescent="0.25">
      <c r="A36" s="589" t="s">
        <v>252</v>
      </c>
      <c r="B36" s="589"/>
      <c r="C36" s="589"/>
      <c r="D36" s="589"/>
      <c r="E36" s="589"/>
      <c r="F36" s="589"/>
      <c r="G36" s="589"/>
      <c r="H36" s="589"/>
      <c r="I36" s="589"/>
      <c r="J36" s="589"/>
      <c r="K36" s="589"/>
      <c r="L36" s="589"/>
    </row>
    <row r="37" spans="1:14" ht="14.25" customHeight="1" x14ac:dyDescent="0.25">
      <c r="A37" s="566" t="s">
        <v>65</v>
      </c>
      <c r="B37" s="565" t="s">
        <v>253</v>
      </c>
      <c r="C37" s="565"/>
      <c r="D37" s="565"/>
      <c r="E37" s="565"/>
      <c r="F37" s="582" t="s">
        <v>63</v>
      </c>
      <c r="G37" s="582"/>
      <c r="H37" s="582"/>
      <c r="I37" s="582"/>
      <c r="J37" s="566" t="s">
        <v>65</v>
      </c>
      <c r="K37" s="565" t="s">
        <v>64</v>
      </c>
      <c r="L37" s="565"/>
      <c r="M37" s="565" t="s">
        <v>63</v>
      </c>
      <c r="N37" s="565"/>
    </row>
    <row r="38" spans="1:14" ht="14.25" customHeight="1" x14ac:dyDescent="0.25">
      <c r="A38" s="566"/>
      <c r="B38" s="555" t="s">
        <v>254</v>
      </c>
      <c r="C38" s="246" t="s">
        <v>255</v>
      </c>
      <c r="D38" s="246" t="s">
        <v>256</v>
      </c>
      <c r="E38" s="32" t="s">
        <v>257</v>
      </c>
      <c r="F38" s="29" t="s">
        <v>254</v>
      </c>
      <c r="G38" s="246" t="s">
        <v>255</v>
      </c>
      <c r="H38" s="246" t="s">
        <v>256</v>
      </c>
      <c r="I38" s="32" t="s">
        <v>257</v>
      </c>
      <c r="J38" s="566"/>
      <c r="K38" s="26" t="s">
        <v>258</v>
      </c>
      <c r="L38" s="32" t="s">
        <v>259</v>
      </c>
      <c r="M38" s="242" t="s">
        <v>258</v>
      </c>
      <c r="N38" s="339" t="s">
        <v>259</v>
      </c>
    </row>
    <row r="39" spans="1:14" ht="14.25" customHeight="1" x14ac:dyDescent="0.25">
      <c r="A39" s="33">
        <v>45658</v>
      </c>
      <c r="B39" s="217">
        <v>553806</v>
      </c>
      <c r="C39" s="217">
        <v>0</v>
      </c>
      <c r="D39" s="217">
        <v>189112</v>
      </c>
      <c r="E39" s="217">
        <v>0</v>
      </c>
      <c r="F39" s="340">
        <v>4.0000000000000001E-3</v>
      </c>
      <c r="G39" s="340">
        <v>4.0000000000000001E-3</v>
      </c>
      <c r="H39" s="340">
        <v>4.0000000000000001E-3</v>
      </c>
      <c r="I39" s="217">
        <v>4.0000000000000001E-3</v>
      </c>
      <c r="J39" s="33">
        <v>45658</v>
      </c>
      <c r="K39" s="216">
        <v>0</v>
      </c>
      <c r="L39" s="217">
        <v>0</v>
      </c>
      <c r="M39" s="217">
        <v>0</v>
      </c>
      <c r="N39" s="324">
        <v>0</v>
      </c>
    </row>
    <row r="40" spans="1:14" ht="14.25" customHeight="1" x14ac:dyDescent="0.25">
      <c r="A40" s="39">
        <v>45689</v>
      </c>
      <c r="B40" s="228">
        <v>451625</v>
      </c>
      <c r="C40" s="228">
        <v>0</v>
      </c>
      <c r="D40" s="228">
        <v>0</v>
      </c>
      <c r="E40" s="228">
        <v>0</v>
      </c>
      <c r="F40" s="341">
        <v>4.0000000000000001E-3</v>
      </c>
      <c r="G40" s="341">
        <v>4.0000000000000001E-3</v>
      </c>
      <c r="H40" s="341">
        <v>4.0000000000000001E-3</v>
      </c>
      <c r="I40" s="228">
        <v>0</v>
      </c>
      <c r="J40" s="39">
        <v>45689</v>
      </c>
      <c r="K40" s="222">
        <v>0</v>
      </c>
      <c r="L40" s="228">
        <v>0</v>
      </c>
      <c r="M40" s="228">
        <v>0</v>
      </c>
      <c r="N40" s="325">
        <v>0</v>
      </c>
    </row>
    <row r="41" spans="1:14" ht="14.25" customHeight="1" x14ac:dyDescent="0.25">
      <c r="A41" s="39">
        <v>45717</v>
      </c>
      <c r="B41" s="228">
        <v>1085186</v>
      </c>
      <c r="C41" s="228">
        <v>0</v>
      </c>
      <c r="D41" s="228">
        <v>2863</v>
      </c>
      <c r="E41" s="228">
        <v>1E-3</v>
      </c>
      <c r="F41" s="341">
        <v>1E-3</v>
      </c>
      <c r="G41" s="341">
        <v>1E-3</v>
      </c>
      <c r="H41" s="341">
        <v>1E-3</v>
      </c>
      <c r="I41" s="228">
        <v>0</v>
      </c>
      <c r="J41" s="39">
        <v>45717</v>
      </c>
      <c r="K41" s="222">
        <v>0</v>
      </c>
      <c r="L41" s="228">
        <v>0</v>
      </c>
      <c r="M41" s="228">
        <v>0</v>
      </c>
      <c r="N41" s="325">
        <v>0</v>
      </c>
    </row>
    <row r="42" spans="1:14" ht="14.25" customHeight="1" x14ac:dyDescent="0.25">
      <c r="A42" s="39">
        <v>45748</v>
      </c>
      <c r="B42" s="228">
        <v>1226779</v>
      </c>
      <c r="C42" s="228">
        <v>0</v>
      </c>
      <c r="D42" s="228">
        <v>0</v>
      </c>
      <c r="E42" s="228">
        <v>0</v>
      </c>
      <c r="F42" s="341">
        <v>1E-3</v>
      </c>
      <c r="G42" s="341">
        <v>1E-3</v>
      </c>
      <c r="H42" s="341">
        <v>1E-3</v>
      </c>
      <c r="I42" s="228">
        <v>0</v>
      </c>
      <c r="J42" s="39">
        <v>45748</v>
      </c>
      <c r="K42" s="222">
        <v>0</v>
      </c>
      <c r="L42" s="228">
        <v>0</v>
      </c>
      <c r="M42" s="228">
        <v>0</v>
      </c>
      <c r="N42" s="325">
        <v>0</v>
      </c>
    </row>
    <row r="43" spans="1:14" ht="14.25" customHeight="1" x14ac:dyDescent="0.25">
      <c r="A43" s="39">
        <v>45778</v>
      </c>
      <c r="B43" s="228">
        <v>357804</v>
      </c>
      <c r="C43" s="228">
        <v>0</v>
      </c>
      <c r="D43" s="228">
        <v>0</v>
      </c>
      <c r="E43" s="228">
        <v>0</v>
      </c>
      <c r="F43" s="341">
        <v>1.2999999999999999E-3</v>
      </c>
      <c r="G43" s="341">
        <v>1.2999999999999999E-3</v>
      </c>
      <c r="H43" s="341">
        <v>1.2999999999999999E-3</v>
      </c>
      <c r="I43" s="228">
        <v>0</v>
      </c>
      <c r="J43" s="39">
        <v>45778</v>
      </c>
      <c r="K43" s="222">
        <v>0</v>
      </c>
      <c r="L43" s="228">
        <v>0</v>
      </c>
      <c r="M43" s="228">
        <v>0</v>
      </c>
      <c r="N43" s="325">
        <v>0</v>
      </c>
    </row>
    <row r="44" spans="1:14" ht="14.25" customHeight="1" x14ac:dyDescent="0.25">
      <c r="A44" s="39">
        <v>45809</v>
      </c>
      <c r="B44" s="228">
        <v>399679</v>
      </c>
      <c r="C44" s="228">
        <v>0</v>
      </c>
      <c r="D44" s="228">
        <v>0</v>
      </c>
      <c r="E44" s="228">
        <v>0</v>
      </c>
      <c r="F44" s="341">
        <v>1.2999999999999999E-3</v>
      </c>
      <c r="G44" s="341">
        <v>1.2999999999999999E-3</v>
      </c>
      <c r="H44" s="341">
        <v>1.2999999999999999E-3</v>
      </c>
      <c r="I44" s="228">
        <v>0</v>
      </c>
      <c r="J44" s="39">
        <v>45809</v>
      </c>
      <c r="K44" s="222">
        <v>0</v>
      </c>
      <c r="L44" s="41">
        <v>0</v>
      </c>
      <c r="M44" s="228">
        <v>0</v>
      </c>
      <c r="N44" s="325">
        <v>0</v>
      </c>
    </row>
    <row r="45" spans="1:14" ht="14.25" customHeight="1" x14ac:dyDescent="0.25">
      <c r="A45" s="39">
        <v>45839</v>
      </c>
      <c r="B45" s="228">
        <v>682626</v>
      </c>
      <c r="C45" s="228">
        <v>0</v>
      </c>
      <c r="D45" s="228">
        <v>0</v>
      </c>
      <c r="E45" s="228">
        <v>0</v>
      </c>
      <c r="F45" s="341">
        <v>1.2999999999999999E-3</v>
      </c>
      <c r="G45" s="341">
        <v>1.2999999999999999E-3</v>
      </c>
      <c r="H45" s="341">
        <v>1.2999999999999999E-3</v>
      </c>
      <c r="I45" s="228">
        <v>0</v>
      </c>
      <c r="J45" s="39">
        <v>45839</v>
      </c>
      <c r="K45" s="222">
        <v>0</v>
      </c>
      <c r="L45" s="41">
        <v>0</v>
      </c>
      <c r="M45" s="228">
        <v>0</v>
      </c>
      <c r="N45" s="325">
        <v>0</v>
      </c>
    </row>
    <row r="46" spans="1:14" ht="14.25" customHeight="1" x14ac:dyDescent="0.25">
      <c r="A46" s="39">
        <v>45870</v>
      </c>
      <c r="B46" s="228">
        <v>413438</v>
      </c>
      <c r="C46" s="228">
        <v>0</v>
      </c>
      <c r="D46" s="228">
        <v>0</v>
      </c>
      <c r="E46" s="228">
        <v>0</v>
      </c>
      <c r="F46" s="341">
        <v>1.2999999999999999E-3</v>
      </c>
      <c r="G46" s="341">
        <v>1.2999999999999999E-3</v>
      </c>
      <c r="H46" s="341">
        <v>1.2999999999999999E-3</v>
      </c>
      <c r="I46" s="228">
        <v>0</v>
      </c>
      <c r="J46" s="39">
        <v>45870</v>
      </c>
      <c r="K46" s="222">
        <v>0</v>
      </c>
      <c r="L46" s="41">
        <v>0</v>
      </c>
      <c r="M46" s="228">
        <v>0</v>
      </c>
      <c r="N46" s="325">
        <v>0</v>
      </c>
    </row>
    <row r="47" spans="1:14" ht="14.25" customHeight="1" x14ac:dyDescent="0.25">
      <c r="A47" s="39">
        <v>45901</v>
      </c>
      <c r="B47" s="228">
        <v>221426</v>
      </c>
      <c r="C47" s="228">
        <v>0</v>
      </c>
      <c r="D47" s="228">
        <v>0</v>
      </c>
      <c r="E47" s="228">
        <v>0</v>
      </c>
      <c r="F47" s="341">
        <v>5.0000000000000001E-4</v>
      </c>
      <c r="G47" s="341">
        <v>5.0000000000000001E-4</v>
      </c>
      <c r="H47" s="341">
        <v>5.0000000000000001E-4</v>
      </c>
      <c r="I47" s="228">
        <v>0</v>
      </c>
      <c r="J47" s="39">
        <v>45901</v>
      </c>
      <c r="K47" s="222">
        <v>0</v>
      </c>
      <c r="L47" s="41">
        <v>0</v>
      </c>
      <c r="M47" s="228">
        <v>0</v>
      </c>
      <c r="N47" s="325">
        <v>0</v>
      </c>
    </row>
    <row r="48" spans="1:14" ht="14.25" customHeight="1" x14ac:dyDescent="0.25">
      <c r="A48" s="39">
        <v>45931</v>
      </c>
      <c r="B48" s="228">
        <v>575860</v>
      </c>
      <c r="C48" s="228">
        <v>0</v>
      </c>
      <c r="D48" s="228">
        <v>0</v>
      </c>
      <c r="E48" s="228">
        <v>0</v>
      </c>
      <c r="F48" s="341">
        <v>6.9999999999999999E-4</v>
      </c>
      <c r="G48" s="341">
        <v>6.9999999999999999E-4</v>
      </c>
      <c r="H48" s="341">
        <v>6.9999999999999999E-4</v>
      </c>
      <c r="I48" s="228">
        <v>0</v>
      </c>
      <c r="J48" s="39">
        <v>45931</v>
      </c>
      <c r="K48" s="222">
        <v>0</v>
      </c>
      <c r="L48" s="41">
        <v>0</v>
      </c>
      <c r="M48" s="228">
        <v>0</v>
      </c>
      <c r="N48" s="325">
        <v>0</v>
      </c>
    </row>
    <row r="49" spans="1:14" ht="14.25" customHeight="1" x14ac:dyDescent="0.25">
      <c r="A49" s="39">
        <v>45962</v>
      </c>
      <c r="B49" s="228">
        <v>432755</v>
      </c>
      <c r="C49" s="228">
        <v>0</v>
      </c>
      <c r="D49" s="228">
        <v>0</v>
      </c>
      <c r="E49" s="228">
        <v>0</v>
      </c>
      <c r="F49" s="341">
        <v>6.9999999999999999E-4</v>
      </c>
      <c r="G49" s="341">
        <v>6.9999999999999999E-4</v>
      </c>
      <c r="H49" s="341">
        <v>6.9999999999999999E-4</v>
      </c>
      <c r="I49" s="228">
        <v>0</v>
      </c>
      <c r="J49" s="39">
        <v>45962</v>
      </c>
      <c r="K49" s="222">
        <v>0</v>
      </c>
      <c r="L49" s="41">
        <v>0</v>
      </c>
      <c r="M49" s="228">
        <v>0</v>
      </c>
      <c r="N49" s="325">
        <v>0</v>
      </c>
    </row>
    <row r="50" spans="1:14" ht="14.25" customHeight="1" x14ac:dyDescent="0.25">
      <c r="A50" s="46">
        <v>45992</v>
      </c>
      <c r="B50" s="232">
        <v>275388</v>
      </c>
      <c r="C50" s="232">
        <v>0</v>
      </c>
      <c r="D50" s="232">
        <v>0</v>
      </c>
      <c r="E50" s="232">
        <v>0</v>
      </c>
      <c r="F50" s="342">
        <v>1E-3</v>
      </c>
      <c r="G50" s="342">
        <v>1E-3</v>
      </c>
      <c r="H50" s="342">
        <v>1E-3</v>
      </c>
      <c r="I50" s="232">
        <v>0</v>
      </c>
      <c r="J50" s="46">
        <v>45992</v>
      </c>
      <c r="K50" s="231">
        <v>0</v>
      </c>
      <c r="L50" s="48">
        <v>0</v>
      </c>
      <c r="M50" s="232">
        <v>0</v>
      </c>
      <c r="N50" s="343">
        <v>0</v>
      </c>
    </row>
    <row r="51" spans="1:14" ht="14.25" customHeight="1" x14ac:dyDescent="0.25">
      <c r="A51" s="330" t="s">
        <v>26</v>
      </c>
      <c r="B51" s="297">
        <f>SUM(B39:B50)</f>
        <v>6676372</v>
      </c>
      <c r="C51" s="297">
        <f>SUM(C39:C50)</f>
        <v>0</v>
      </c>
      <c r="D51" s="297">
        <f>SUM(D39:D50)</f>
        <v>191975</v>
      </c>
      <c r="E51" s="297">
        <f>SUM(E39:E50)</f>
        <v>1E-3</v>
      </c>
      <c r="F51" s="344">
        <f>AVERAGE(F39:F50)</f>
        <v>1.5083333333333331E-3</v>
      </c>
      <c r="G51" s="345">
        <f>AVERAGE(G39:G50)</f>
        <v>1.5083333333333331E-3</v>
      </c>
      <c r="H51" s="345">
        <f>AVERAGE(H39:H50)</f>
        <v>1.5083333333333331E-3</v>
      </c>
      <c r="I51" s="331" t="s">
        <v>131</v>
      </c>
      <c r="J51" s="296" t="s">
        <v>26</v>
      </c>
      <c r="K51" s="346">
        <f>SUM(K39:K50)</f>
        <v>0</v>
      </c>
      <c r="L51" s="347">
        <f>SUM(L39:L50)</f>
        <v>0</v>
      </c>
      <c r="M51" s="348">
        <f>AVERAGE(M39)</f>
        <v>0</v>
      </c>
      <c r="N51" s="66" t="s">
        <v>131</v>
      </c>
    </row>
    <row r="52" spans="1:14" ht="28.5" customHeight="1" x14ac:dyDescent="0.25">
      <c r="A52" s="335" t="s">
        <v>251</v>
      </c>
      <c r="B52" s="349">
        <f>SUM(B51)</f>
        <v>6676372</v>
      </c>
      <c r="C52" s="350">
        <f>C51*42</f>
        <v>0</v>
      </c>
      <c r="D52" s="350">
        <f>SUM(D51)</f>
        <v>191975</v>
      </c>
      <c r="E52" s="351">
        <f>E51*42</f>
        <v>4.2000000000000003E-2</v>
      </c>
      <c r="J52" s="352" t="s">
        <v>251</v>
      </c>
      <c r="K52" s="353">
        <f>K51*42</f>
        <v>0</v>
      </c>
      <c r="L52" s="354">
        <f>L51*42</f>
        <v>0</v>
      </c>
    </row>
    <row r="53" spans="1:14" ht="14.25" customHeight="1" x14ac:dyDescent="0.25">
      <c r="B53" s="55">
        <f>SUM(B45:B50)*42</f>
        <v>109262706</v>
      </c>
      <c r="C53" s="55">
        <f>SUM(C45:C50)*42</f>
        <v>0</v>
      </c>
      <c r="D53" s="55">
        <f>SUM(D45:D50)*42</f>
        <v>0</v>
      </c>
      <c r="E53" s="55">
        <f>SUM(E45:E50)*42</f>
        <v>0</v>
      </c>
      <c r="F53" s="55"/>
      <c r="G53" s="55"/>
      <c r="H53" s="55"/>
      <c r="I53" s="55"/>
      <c r="J53" s="55"/>
      <c r="K53" s="55">
        <f>SUM(K45:K50)*42</f>
        <v>0</v>
      </c>
      <c r="L53" s="55">
        <f>SUM(L45:L50)*42</f>
        <v>0</v>
      </c>
    </row>
    <row r="54" spans="1:14" ht="14.25" customHeight="1" x14ac:dyDescent="0.25">
      <c r="H54" s="355">
        <f>SUM(B52+C52+D52+E52+K52+L52)</f>
        <v>6868347.0420000004</v>
      </c>
    </row>
    <row r="55" spans="1:14" ht="14.25" customHeight="1" x14ac:dyDescent="0.25">
      <c r="H55" s="355"/>
    </row>
    <row r="56" spans="1:14" ht="14.25" customHeight="1" x14ac:dyDescent="0.25">
      <c r="H56" s="355"/>
    </row>
    <row r="57" spans="1:14" ht="14.25" customHeight="1" x14ac:dyDescent="0.25">
      <c r="H57" s="355"/>
    </row>
    <row r="58" spans="1:14" ht="14.25" customHeight="1" x14ac:dyDescent="0.25">
      <c r="H58" s="355"/>
    </row>
    <row r="59" spans="1:14" ht="14.25" customHeight="1" x14ac:dyDescent="0.25">
      <c r="H59" s="355"/>
    </row>
    <row r="60" spans="1:14" ht="14.25" customHeight="1" x14ac:dyDescent="0.25">
      <c r="H60" s="355"/>
    </row>
    <row r="61" spans="1:14" ht="14.25" customHeight="1" x14ac:dyDescent="0.25">
      <c r="H61" s="355"/>
    </row>
    <row r="62" spans="1:14" ht="14.25" customHeight="1" x14ac:dyDescent="0.25">
      <c r="H62" s="355"/>
    </row>
    <row r="63" spans="1:14" ht="14.25" customHeight="1" x14ac:dyDescent="0.25">
      <c r="H63" s="355"/>
    </row>
    <row r="64" spans="1:14" ht="14.25" customHeight="1" x14ac:dyDescent="0.25">
      <c r="H64" s="355"/>
    </row>
    <row r="65" spans="1:11" ht="14.25" customHeight="1" x14ac:dyDescent="0.25">
      <c r="H65" s="355"/>
    </row>
    <row r="66" spans="1:11" ht="14.25" customHeight="1" x14ac:dyDescent="0.25">
      <c r="H66" s="355"/>
    </row>
    <row r="67" spans="1:11" ht="14.25" customHeight="1" x14ac:dyDescent="0.25">
      <c r="H67" s="355"/>
    </row>
    <row r="68" spans="1:11" ht="14.25" customHeight="1" x14ac:dyDescent="0.25">
      <c r="A68" s="173" t="s">
        <v>260</v>
      </c>
      <c r="K68" s="55">
        <f>AVERAGE(M51,I51,G51,F51)</f>
        <v>1.0055555555555553E-3</v>
      </c>
    </row>
    <row r="69" spans="1:11" ht="14.25" customHeight="1" x14ac:dyDescent="0.25">
      <c r="A69" s="566" t="s">
        <v>65</v>
      </c>
      <c r="B69" s="565" t="s">
        <v>261</v>
      </c>
      <c r="C69" s="565"/>
      <c r="D69" s="565"/>
      <c r="E69" s="565"/>
      <c r="F69" s="565" t="s">
        <v>262</v>
      </c>
      <c r="G69" s="565"/>
      <c r="H69" s="565"/>
      <c r="I69" s="565"/>
    </row>
    <row r="70" spans="1:11" ht="14.25" customHeight="1" x14ac:dyDescent="0.25">
      <c r="A70" s="566"/>
      <c r="B70" s="555" t="s">
        <v>263</v>
      </c>
      <c r="C70" s="246" t="s">
        <v>264</v>
      </c>
      <c r="D70" s="30" t="s">
        <v>265</v>
      </c>
      <c r="E70" s="25" t="s">
        <v>77</v>
      </c>
      <c r="F70" s="29" t="s">
        <v>266</v>
      </c>
      <c r="G70" s="246" t="s">
        <v>267</v>
      </c>
      <c r="H70" s="246" t="s">
        <v>268</v>
      </c>
      <c r="I70" s="32" t="s">
        <v>77</v>
      </c>
    </row>
    <row r="71" spans="1:11" ht="14.25" customHeight="1" x14ac:dyDescent="0.25">
      <c r="A71" s="33">
        <v>45658</v>
      </c>
      <c r="B71" s="217">
        <v>65095</v>
      </c>
      <c r="C71" s="217">
        <v>267120</v>
      </c>
      <c r="D71" s="356">
        <v>219687</v>
      </c>
      <c r="E71" s="357">
        <f t="shared" ref="E71:E82" si="0">SUM(B71:D71)</f>
        <v>551902</v>
      </c>
      <c r="F71" s="216">
        <v>0</v>
      </c>
      <c r="G71" s="217">
        <v>0</v>
      </c>
      <c r="H71" s="217">
        <v>0</v>
      </c>
      <c r="I71" s="293">
        <f t="shared" ref="I71:I83" si="1">SUM(F71:H71)</f>
        <v>0</v>
      </c>
    </row>
    <row r="72" spans="1:11" ht="14.25" customHeight="1" x14ac:dyDescent="0.25">
      <c r="A72" s="39">
        <v>45689</v>
      </c>
      <c r="B72" s="228">
        <v>161817</v>
      </c>
      <c r="C72" s="228">
        <v>233344</v>
      </c>
      <c r="D72" s="358">
        <v>194868</v>
      </c>
      <c r="E72" s="359">
        <f t="shared" si="0"/>
        <v>590029</v>
      </c>
      <c r="F72" s="222">
        <v>0</v>
      </c>
      <c r="G72" s="228">
        <v>0</v>
      </c>
      <c r="H72" s="228">
        <v>0</v>
      </c>
      <c r="I72" s="278">
        <f t="shared" si="1"/>
        <v>0</v>
      </c>
    </row>
    <row r="73" spans="1:11" ht="14.25" customHeight="1" x14ac:dyDescent="0.25">
      <c r="A73" s="39">
        <v>45717</v>
      </c>
      <c r="B73" s="228">
        <v>620190</v>
      </c>
      <c r="C73" s="228">
        <v>636812</v>
      </c>
      <c r="D73" s="358">
        <v>587693</v>
      </c>
      <c r="E73" s="359">
        <f t="shared" si="0"/>
        <v>1844695</v>
      </c>
      <c r="F73" s="222">
        <v>0</v>
      </c>
      <c r="G73" s="228">
        <v>0</v>
      </c>
      <c r="H73" s="228">
        <v>0</v>
      </c>
      <c r="I73" s="278">
        <f t="shared" si="1"/>
        <v>0</v>
      </c>
    </row>
    <row r="74" spans="1:11" ht="14.25" customHeight="1" x14ac:dyDescent="0.25">
      <c r="A74" s="39">
        <v>45748</v>
      </c>
      <c r="B74" s="228">
        <v>1190253</v>
      </c>
      <c r="C74" s="228">
        <v>617908</v>
      </c>
      <c r="D74" s="358">
        <v>902866</v>
      </c>
      <c r="E74" s="359">
        <f t="shared" si="0"/>
        <v>2711027</v>
      </c>
      <c r="F74" s="222">
        <v>0</v>
      </c>
      <c r="G74" s="228">
        <v>0</v>
      </c>
      <c r="H74" s="228">
        <v>0</v>
      </c>
      <c r="I74" s="278">
        <f t="shared" si="1"/>
        <v>0</v>
      </c>
    </row>
    <row r="75" spans="1:11" ht="14.25" customHeight="1" x14ac:dyDescent="0.25">
      <c r="A75" s="39">
        <v>45778</v>
      </c>
      <c r="B75" s="228">
        <v>366583</v>
      </c>
      <c r="C75" s="228">
        <v>19835</v>
      </c>
      <c r="D75" s="358">
        <v>288165</v>
      </c>
      <c r="E75" s="359">
        <f t="shared" si="0"/>
        <v>674583</v>
      </c>
      <c r="F75" s="222">
        <v>0</v>
      </c>
      <c r="G75" s="228">
        <v>0</v>
      </c>
      <c r="H75" s="228">
        <v>0</v>
      </c>
      <c r="I75" s="278">
        <f t="shared" si="1"/>
        <v>0</v>
      </c>
    </row>
    <row r="76" spans="1:11" ht="14.25" customHeight="1" x14ac:dyDescent="0.25">
      <c r="A76" s="39">
        <v>45809</v>
      </c>
      <c r="B76" s="228">
        <v>280457</v>
      </c>
      <c r="C76" s="228">
        <v>245941</v>
      </c>
      <c r="D76" s="358">
        <v>256509</v>
      </c>
      <c r="E76" s="359">
        <f t="shared" si="0"/>
        <v>782907</v>
      </c>
      <c r="F76" s="222">
        <v>0</v>
      </c>
      <c r="G76" s="228">
        <v>0</v>
      </c>
      <c r="H76" s="228">
        <v>0</v>
      </c>
      <c r="I76" s="278">
        <f t="shared" si="1"/>
        <v>0</v>
      </c>
    </row>
    <row r="77" spans="1:11" ht="14.25" customHeight="1" x14ac:dyDescent="0.25">
      <c r="A77" s="39">
        <v>45839</v>
      </c>
      <c r="B77" s="228">
        <v>294672</v>
      </c>
      <c r="C77" s="228">
        <v>294588</v>
      </c>
      <c r="D77" s="358">
        <v>269472</v>
      </c>
      <c r="E77" s="359">
        <f t="shared" si="0"/>
        <v>858732</v>
      </c>
      <c r="F77" s="222">
        <v>0</v>
      </c>
      <c r="G77" s="228">
        <v>0</v>
      </c>
      <c r="H77" s="228">
        <v>0</v>
      </c>
      <c r="I77" s="278">
        <f t="shared" si="1"/>
        <v>0</v>
      </c>
    </row>
    <row r="78" spans="1:11" ht="14.25" customHeight="1" x14ac:dyDescent="0.25">
      <c r="A78" s="39">
        <v>45870</v>
      </c>
      <c r="B78" s="228">
        <v>294894</v>
      </c>
      <c r="C78" s="228">
        <v>335891</v>
      </c>
      <c r="D78" s="358">
        <v>265194</v>
      </c>
      <c r="E78" s="359">
        <f t="shared" si="0"/>
        <v>895979</v>
      </c>
      <c r="F78" s="222">
        <v>0</v>
      </c>
      <c r="G78" s="228">
        <v>0</v>
      </c>
      <c r="H78" s="228">
        <v>0</v>
      </c>
      <c r="I78" s="278">
        <f t="shared" si="1"/>
        <v>0</v>
      </c>
    </row>
    <row r="79" spans="1:11" ht="14.25" customHeight="1" x14ac:dyDescent="0.25">
      <c r="A79" s="39">
        <v>45901</v>
      </c>
      <c r="B79" s="228">
        <v>121002</v>
      </c>
      <c r="C79" s="228">
        <v>121128</v>
      </c>
      <c r="D79" s="358">
        <v>120926</v>
      </c>
      <c r="E79" s="359">
        <f t="shared" si="0"/>
        <v>363056</v>
      </c>
      <c r="F79" s="222">
        <v>0</v>
      </c>
      <c r="G79" s="228">
        <v>0</v>
      </c>
      <c r="H79" s="228">
        <v>0</v>
      </c>
      <c r="I79" s="278">
        <f t="shared" si="1"/>
        <v>0</v>
      </c>
    </row>
    <row r="80" spans="1:11" ht="14.25" customHeight="1" x14ac:dyDescent="0.25">
      <c r="A80" s="39">
        <v>45931</v>
      </c>
      <c r="B80" s="228">
        <v>396756</v>
      </c>
      <c r="C80" s="228">
        <v>404634</v>
      </c>
      <c r="D80" s="358">
        <v>392314</v>
      </c>
      <c r="E80" s="359">
        <f t="shared" si="0"/>
        <v>1193704</v>
      </c>
      <c r="F80" s="222">
        <v>0</v>
      </c>
      <c r="G80" s="228">
        <v>0</v>
      </c>
      <c r="H80" s="228">
        <v>0</v>
      </c>
      <c r="I80" s="278">
        <f t="shared" si="1"/>
        <v>0</v>
      </c>
    </row>
    <row r="81" spans="1:9" ht="14.25" customHeight="1" x14ac:dyDescent="0.25">
      <c r="A81" s="39">
        <v>45962</v>
      </c>
      <c r="B81" s="228">
        <v>331019</v>
      </c>
      <c r="C81" s="228">
        <v>262009</v>
      </c>
      <c r="D81" s="358">
        <v>330542</v>
      </c>
      <c r="E81" s="359">
        <f t="shared" si="0"/>
        <v>923570</v>
      </c>
      <c r="F81" s="222">
        <v>0</v>
      </c>
      <c r="G81" s="228">
        <v>0</v>
      </c>
      <c r="H81" s="228">
        <v>0</v>
      </c>
      <c r="I81" s="278">
        <f t="shared" si="1"/>
        <v>0</v>
      </c>
    </row>
    <row r="82" spans="1:9" ht="14.25" customHeight="1" x14ac:dyDescent="0.25">
      <c r="A82" s="46">
        <v>45992</v>
      </c>
      <c r="B82" s="232">
        <v>203465</v>
      </c>
      <c r="C82" s="232">
        <v>205328</v>
      </c>
      <c r="D82" s="360">
        <v>198967</v>
      </c>
      <c r="E82" s="361">
        <f t="shared" si="0"/>
        <v>607760</v>
      </c>
      <c r="F82" s="231">
        <v>0</v>
      </c>
      <c r="G82" s="232">
        <v>0</v>
      </c>
      <c r="H82" s="232">
        <v>0</v>
      </c>
      <c r="I82" s="362">
        <f t="shared" si="1"/>
        <v>0</v>
      </c>
    </row>
    <row r="83" spans="1:9" ht="14.25" customHeight="1" x14ac:dyDescent="0.25">
      <c r="A83" s="363" t="s">
        <v>26</v>
      </c>
      <c r="B83" s="364">
        <f>SUM(B71:B82)</f>
        <v>4326203</v>
      </c>
      <c r="C83" s="364">
        <f>SUM(C71:C82)</f>
        <v>3644538</v>
      </c>
      <c r="D83" s="365">
        <f>SUM(D71:D82)</f>
        <v>4027203</v>
      </c>
      <c r="E83" s="366"/>
      <c r="F83" s="367">
        <f>AVERAGE(F71:F82)</f>
        <v>0</v>
      </c>
      <c r="G83" s="364">
        <f>AVERAGE(G71:G82)</f>
        <v>0</v>
      </c>
      <c r="H83" s="365">
        <f>AVERAGE(H71:H82)</f>
        <v>0</v>
      </c>
      <c r="I83" s="368">
        <f t="shared" si="1"/>
        <v>0</v>
      </c>
    </row>
    <row r="84" spans="1:9" ht="28.5" customHeight="1" x14ac:dyDescent="0.25">
      <c r="A84" s="352" t="s">
        <v>251</v>
      </c>
      <c r="B84" s="369">
        <f>SUM(B83)</f>
        <v>4326203</v>
      </c>
      <c r="C84" s="370">
        <f>SUM(C83)</f>
        <v>3644538</v>
      </c>
      <c r="D84" s="370">
        <f>SUM(D83)</f>
        <v>4027203</v>
      </c>
    </row>
  </sheetData>
  <mergeCells count="14">
    <mergeCell ref="M37:N37"/>
    <mergeCell ref="A69:A70"/>
    <mergeCell ref="B69:E69"/>
    <mergeCell ref="F69:I69"/>
    <mergeCell ref="A37:A38"/>
    <mergeCell ref="B37:E37"/>
    <mergeCell ref="F37:I37"/>
    <mergeCell ref="J37:J38"/>
    <mergeCell ref="K37:L37"/>
    <mergeCell ref="A2:I2"/>
    <mergeCell ref="A3:E3"/>
    <mergeCell ref="F3:I3"/>
    <mergeCell ref="M3:P3"/>
    <mergeCell ref="A36:L3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83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1" width="13.85546875" customWidth="1"/>
    <col min="2" max="2" width="21.28515625" customWidth="1"/>
    <col min="4" max="4" width="15.42578125" customWidth="1"/>
    <col min="5" max="6" width="9.28515625" customWidth="1"/>
    <col min="9" max="9" width="14.85546875" customWidth="1"/>
    <col min="10" max="10" width="17.7109375" customWidth="1"/>
    <col min="11" max="11" width="10.5703125" customWidth="1"/>
    <col min="12" max="12" width="10" customWidth="1"/>
    <col min="13" max="13" width="12.7109375" customWidth="1"/>
    <col min="14" max="16" width="9.28515625" customWidth="1"/>
  </cols>
  <sheetData>
    <row r="1" spans="1:23" ht="14.25" customHeight="1" x14ac:dyDescent="0.2">
      <c r="A1" s="571" t="s">
        <v>269</v>
      </c>
      <c r="B1" s="571"/>
      <c r="C1" s="571"/>
      <c r="D1" s="571"/>
      <c r="E1" s="571"/>
      <c r="F1" s="571"/>
      <c r="G1" s="571"/>
      <c r="H1" s="571"/>
      <c r="I1" s="571" t="s">
        <v>270</v>
      </c>
      <c r="J1" s="571"/>
      <c r="K1" s="571"/>
      <c r="L1" s="571"/>
      <c r="M1" s="571"/>
      <c r="N1" s="571"/>
      <c r="O1" s="571"/>
      <c r="P1" s="571"/>
      <c r="Q1" s="571"/>
    </row>
    <row r="3" spans="1:23" ht="14.25" customHeight="1" x14ac:dyDescent="0.2">
      <c r="A3" s="590" t="s">
        <v>227</v>
      </c>
      <c r="B3" s="590"/>
      <c r="C3" s="590"/>
      <c r="D3" s="84"/>
      <c r="E3" s="84"/>
      <c r="F3" s="84"/>
      <c r="G3" s="84"/>
      <c r="H3" s="84"/>
      <c r="I3" s="590" t="s">
        <v>79</v>
      </c>
      <c r="J3" s="590"/>
      <c r="K3" s="590"/>
      <c r="L3" s="84"/>
      <c r="M3" s="84"/>
      <c r="N3" s="84"/>
      <c r="O3" s="84"/>
      <c r="P3" s="84"/>
      <c r="Q3" s="84"/>
    </row>
    <row r="4" spans="1:23" ht="14.25" customHeight="1" x14ac:dyDescent="0.2">
      <c r="A4" s="316" t="s">
        <v>17</v>
      </c>
      <c r="B4" s="371" t="s">
        <v>228</v>
      </c>
      <c r="C4" s="372"/>
      <c r="D4" s="84"/>
      <c r="E4" s="84"/>
      <c r="F4" s="84"/>
      <c r="G4" s="84"/>
      <c r="H4" s="84"/>
      <c r="I4" s="305" t="s">
        <v>17</v>
      </c>
      <c r="J4" s="373" t="s">
        <v>80</v>
      </c>
      <c r="K4" s="307"/>
    </row>
    <row r="5" spans="1:23" ht="14.25" customHeight="1" x14ac:dyDescent="0.2">
      <c r="A5" s="305" t="s">
        <v>41</v>
      </c>
      <c r="B5" s="373" t="s">
        <v>230</v>
      </c>
      <c r="C5" s="307"/>
      <c r="D5" s="84"/>
      <c r="E5" s="84"/>
      <c r="F5" s="84"/>
      <c r="G5" s="84"/>
      <c r="H5" s="84"/>
      <c r="I5" s="305" t="s">
        <v>41</v>
      </c>
      <c r="J5" s="373" t="s">
        <v>81</v>
      </c>
      <c r="K5" s="307"/>
      <c r="L5" s="84"/>
      <c r="M5" s="84"/>
      <c r="N5" s="84"/>
      <c r="O5" s="84"/>
      <c r="P5" s="84"/>
      <c r="Q5" s="84"/>
    </row>
    <row r="6" spans="1:23" ht="14.25" customHeight="1" x14ac:dyDescent="0.2">
      <c r="A6" s="305" t="s">
        <v>20</v>
      </c>
      <c r="B6" s="84" t="s">
        <v>271</v>
      </c>
      <c r="C6" s="307"/>
      <c r="D6" s="84"/>
      <c r="E6" s="84"/>
      <c r="F6" s="84"/>
      <c r="G6" s="84"/>
      <c r="H6" s="84"/>
      <c r="I6" s="305" t="s">
        <v>20</v>
      </c>
      <c r="J6" s="373" t="s">
        <v>272</v>
      </c>
      <c r="K6" s="307"/>
      <c r="L6" s="84"/>
      <c r="M6" s="84"/>
      <c r="N6" s="84"/>
      <c r="O6" s="84"/>
      <c r="P6" s="84"/>
      <c r="Q6" s="84"/>
    </row>
    <row r="7" spans="1:23" ht="14.25" customHeight="1" x14ac:dyDescent="0.2">
      <c r="A7" s="305" t="s">
        <v>22</v>
      </c>
      <c r="B7" s="373" t="s">
        <v>234</v>
      </c>
      <c r="C7" s="307"/>
      <c r="D7" s="84"/>
      <c r="E7" s="84"/>
      <c r="F7" s="84"/>
      <c r="G7" s="84"/>
      <c r="H7" s="84"/>
      <c r="I7" s="305" t="s">
        <v>22</v>
      </c>
      <c r="J7" s="373" t="s">
        <v>273</v>
      </c>
      <c r="K7" s="307"/>
      <c r="L7" s="84"/>
      <c r="M7" s="84"/>
      <c r="N7" s="84"/>
      <c r="O7" s="84"/>
      <c r="P7" s="84"/>
      <c r="Q7" s="84"/>
    </row>
    <row r="8" spans="1:23" ht="14.25" customHeight="1" x14ac:dyDescent="0.2">
      <c r="A8" s="305" t="s">
        <v>21</v>
      </c>
      <c r="B8" s="373" t="s">
        <v>236</v>
      </c>
      <c r="C8" s="307"/>
      <c r="D8" s="84"/>
      <c r="E8" s="84"/>
      <c r="F8" s="84"/>
      <c r="G8" s="84"/>
      <c r="H8" s="84"/>
      <c r="I8" s="305" t="s">
        <v>21</v>
      </c>
      <c r="J8" s="373" t="s">
        <v>85</v>
      </c>
      <c r="K8" s="307"/>
      <c r="L8" s="84"/>
      <c r="M8" s="84"/>
      <c r="N8" s="84"/>
      <c r="O8" s="84"/>
      <c r="P8" s="84"/>
      <c r="Q8" s="84"/>
    </row>
    <row r="9" spans="1:23" ht="14.25" customHeight="1" x14ac:dyDescent="0.2">
      <c r="A9" s="311" t="s">
        <v>274</v>
      </c>
      <c r="B9" s="374" t="s">
        <v>238</v>
      </c>
      <c r="C9" s="313"/>
      <c r="D9" s="84"/>
      <c r="E9" s="84"/>
      <c r="F9" s="84"/>
      <c r="G9" s="84"/>
      <c r="H9" s="84"/>
      <c r="I9" s="311" t="s">
        <v>274</v>
      </c>
      <c r="J9" s="374" t="s">
        <v>275</v>
      </c>
      <c r="K9" s="313"/>
      <c r="L9" s="84"/>
      <c r="M9" s="84"/>
      <c r="N9" s="84"/>
      <c r="O9" s="84"/>
      <c r="P9" s="84"/>
      <c r="Q9" s="84"/>
    </row>
    <row r="10" spans="1:23" ht="14.25" customHeight="1" x14ac:dyDescent="0.2">
      <c r="A10" s="308" t="s">
        <v>24</v>
      </c>
      <c r="B10" s="309" t="s">
        <v>276</v>
      </c>
      <c r="C10" s="309" t="s">
        <v>241</v>
      </c>
      <c r="D10" s="310"/>
      <c r="E10" s="84"/>
      <c r="F10" s="84"/>
      <c r="G10" s="84"/>
      <c r="I10" s="308" t="s">
        <v>24</v>
      </c>
      <c r="J10" s="312" t="s">
        <v>242</v>
      </c>
      <c r="K10" s="313" t="s">
        <v>241</v>
      </c>
      <c r="M10" s="84"/>
      <c r="N10" s="84"/>
      <c r="O10" s="84"/>
      <c r="P10" s="84"/>
      <c r="Q10" s="84"/>
    </row>
    <row r="11" spans="1:23" ht="14.25" customHeight="1" x14ac:dyDescent="0.2">
      <c r="L11" s="84"/>
      <c r="M11" s="84"/>
      <c r="N11" s="84"/>
      <c r="O11" s="84"/>
      <c r="P11" s="84"/>
      <c r="Q11" s="84"/>
    </row>
    <row r="12" spans="1:23" ht="14.25" customHeight="1" x14ac:dyDescent="0.2">
      <c r="A12" s="375" t="s">
        <v>186</v>
      </c>
      <c r="B12" s="376">
        <f>SUM('Palo Seco'!K14)</f>
        <v>81976020</v>
      </c>
      <c r="C12" s="377" t="s">
        <v>89</v>
      </c>
      <c r="D12" s="84"/>
      <c r="E12" s="84"/>
      <c r="F12" s="84"/>
      <c r="G12" s="84"/>
      <c r="H12" s="84"/>
      <c r="I12" s="375" t="s">
        <v>88</v>
      </c>
      <c r="J12" s="376">
        <f>SUM('Palo Seco'!H54)</f>
        <v>6868347.0420000004</v>
      </c>
      <c r="K12" s="377" t="s">
        <v>89</v>
      </c>
      <c r="L12" s="84"/>
      <c r="M12" s="84"/>
      <c r="N12" s="84"/>
      <c r="O12" s="84"/>
      <c r="P12" s="84"/>
      <c r="Q12" s="84"/>
    </row>
    <row r="13" spans="1:23" ht="14.25" customHeight="1" x14ac:dyDescent="0.2">
      <c r="A13" s="375" t="s">
        <v>90</v>
      </c>
      <c r="B13" s="376">
        <f>SUM('Palo Seco'!I18)</f>
        <v>0.46833333333333332</v>
      </c>
      <c r="C13" s="377"/>
      <c r="D13" s="378"/>
      <c r="E13" s="84"/>
      <c r="F13" s="84"/>
      <c r="G13" s="84"/>
      <c r="H13" s="84"/>
      <c r="I13" s="375" t="s">
        <v>90</v>
      </c>
      <c r="J13" s="379">
        <f>SUM('Palo Seco'!H51)</f>
        <v>1.5083333333333331E-3</v>
      </c>
      <c r="K13" s="377"/>
      <c r="L13" s="84"/>
      <c r="M13" s="84"/>
      <c r="N13" s="84"/>
      <c r="O13" s="84"/>
      <c r="P13" s="84"/>
      <c r="Q13" s="84"/>
      <c r="V13">
        <f>(867406.4)*2204.6/77635189</f>
        <v>24.631667341468056</v>
      </c>
      <c r="W13" t="s">
        <v>119</v>
      </c>
    </row>
    <row r="14" spans="1:23" ht="14.25" customHeight="1" x14ac:dyDescent="0.2">
      <c r="V14">
        <f>(73.96+0.003*25+0.0006*298)*2.2046*0.138</f>
        <v>22.578420600240001</v>
      </c>
      <c r="W14" t="s">
        <v>119</v>
      </c>
    </row>
    <row r="16" spans="1:23" ht="14.25" customHeight="1" x14ac:dyDescent="0.2">
      <c r="A16" s="84" t="s">
        <v>91</v>
      </c>
      <c r="B16" s="84"/>
      <c r="C16" s="84"/>
      <c r="D16" s="84"/>
      <c r="E16" s="84"/>
      <c r="F16" s="84"/>
      <c r="G16" s="84"/>
      <c r="H16" s="84"/>
      <c r="I16" s="84" t="s">
        <v>91</v>
      </c>
      <c r="J16" s="84"/>
      <c r="K16" s="84"/>
      <c r="L16" s="84"/>
      <c r="M16" s="84"/>
      <c r="N16" s="84"/>
      <c r="O16" s="84"/>
      <c r="P16" s="84"/>
      <c r="Q16" s="84"/>
    </row>
    <row r="18" spans="1:17" ht="14.25" customHeight="1" x14ac:dyDescent="0.2">
      <c r="A18" s="199" t="s">
        <v>92</v>
      </c>
      <c r="B18" s="380">
        <f>(9.19*B13)+3.22</f>
        <v>7.5239833333333337</v>
      </c>
      <c r="C18" s="371" t="s">
        <v>93</v>
      </c>
      <c r="D18" s="381">
        <f>B12</f>
        <v>81976020</v>
      </c>
      <c r="E18" s="371" t="s">
        <v>94</v>
      </c>
      <c r="F18" s="591" t="s">
        <v>96</v>
      </c>
      <c r="G18" s="591"/>
      <c r="H18" s="209"/>
      <c r="I18" s="199" t="s">
        <v>92</v>
      </c>
      <c r="J18" s="382">
        <v>1.2E-2</v>
      </c>
      <c r="K18" s="371" t="s">
        <v>93</v>
      </c>
      <c r="L18" s="383">
        <f>J12</f>
        <v>6868347.0420000004</v>
      </c>
      <c r="M18" s="371" t="s">
        <v>94</v>
      </c>
      <c r="N18" s="382">
        <v>0.13800000000000001</v>
      </c>
      <c r="O18" s="371" t="s">
        <v>95</v>
      </c>
      <c r="P18" s="558"/>
      <c r="Q18" s="384" t="s">
        <v>96</v>
      </c>
    </row>
    <row r="19" spans="1:17" ht="14.25" customHeight="1" x14ac:dyDescent="0.25">
      <c r="A19" s="84"/>
      <c r="B19" s="561">
        <v>1000</v>
      </c>
      <c r="C19" s="193" t="s">
        <v>94</v>
      </c>
      <c r="D19" s="561"/>
      <c r="E19" s="193" t="s">
        <v>65</v>
      </c>
      <c r="F19" s="209">
        <v>2000</v>
      </c>
      <c r="G19" s="84" t="s">
        <v>93</v>
      </c>
      <c r="H19" s="209"/>
      <c r="I19" s="84"/>
      <c r="J19" s="385"/>
      <c r="K19" s="386" t="s">
        <v>95</v>
      </c>
      <c r="L19" s="561"/>
      <c r="M19" s="193" t="s">
        <v>65</v>
      </c>
      <c r="N19" s="561"/>
      <c r="O19" s="193" t="s">
        <v>94</v>
      </c>
      <c r="P19" s="209">
        <v>2000</v>
      </c>
      <c r="Q19" s="387" t="s">
        <v>93</v>
      </c>
    </row>
    <row r="22" spans="1:17" ht="14.25" customHeight="1" x14ac:dyDescent="0.2">
      <c r="A22" s="199" t="s">
        <v>92</v>
      </c>
      <c r="B22" s="196">
        <f>((B18/B19)*D18)/F19</f>
        <v>308.3931041065</v>
      </c>
      <c r="C22" s="202" t="s">
        <v>96</v>
      </c>
      <c r="D22" s="199" t="s">
        <v>92</v>
      </c>
      <c r="E22" s="196">
        <f>B22*2000/8760</f>
        <v>70.409384499200911</v>
      </c>
      <c r="F22" s="202" t="s">
        <v>93</v>
      </c>
      <c r="G22" s="84"/>
      <c r="H22" s="84"/>
      <c r="I22" s="199" t="s">
        <v>92</v>
      </c>
      <c r="J22" s="388">
        <f>(J18*L18*N18)/P19</f>
        <v>5.6869913507760002</v>
      </c>
      <c r="K22" s="202" t="s">
        <v>96</v>
      </c>
      <c r="L22" s="199" t="s">
        <v>92</v>
      </c>
      <c r="M22" s="388">
        <f>J22*(2000/8760)</f>
        <v>1.2983998517753423</v>
      </c>
      <c r="N22" s="202" t="s">
        <v>93</v>
      </c>
      <c r="O22" s="84"/>
      <c r="P22" s="84"/>
      <c r="Q22" s="84"/>
    </row>
    <row r="23" spans="1:17" ht="14.25" customHeight="1" x14ac:dyDescent="0.2">
      <c r="A23" s="84"/>
      <c r="B23" s="84"/>
      <c r="C23" s="194" t="s">
        <v>65</v>
      </c>
      <c r="D23" s="84"/>
      <c r="E23" s="84"/>
      <c r="F23" s="194" t="s">
        <v>98</v>
      </c>
      <c r="G23" s="84"/>
      <c r="H23" s="84"/>
      <c r="I23" s="84"/>
      <c r="J23" s="84"/>
      <c r="K23" s="194" t="s">
        <v>65</v>
      </c>
      <c r="L23" s="84"/>
      <c r="M23" s="84"/>
      <c r="N23" s="194" t="s">
        <v>98</v>
      </c>
      <c r="O23" s="84"/>
      <c r="P23" s="84"/>
      <c r="Q23" s="84"/>
    </row>
    <row r="26" spans="1:17" ht="14.25" customHeight="1" x14ac:dyDescent="0.2">
      <c r="A26" s="84" t="s">
        <v>99</v>
      </c>
      <c r="B26" s="84"/>
      <c r="C26" s="84"/>
      <c r="D26" s="84"/>
      <c r="E26" s="84"/>
      <c r="F26" s="84"/>
      <c r="G26" s="84"/>
      <c r="H26" s="84"/>
      <c r="I26" s="84" t="s">
        <v>99</v>
      </c>
      <c r="J26" s="84"/>
      <c r="K26" s="84"/>
      <c r="L26" s="84"/>
      <c r="M26" s="84"/>
      <c r="N26" s="84"/>
      <c r="O26" s="84"/>
      <c r="P26" s="84"/>
      <c r="Q26" s="84"/>
    </row>
    <row r="27" spans="1:17" ht="14.25" customHeight="1" x14ac:dyDescent="0.25">
      <c r="B27" s="389"/>
    </row>
    <row r="28" spans="1:17" ht="14.25" customHeight="1" x14ac:dyDescent="0.2">
      <c r="A28" s="199" t="s">
        <v>92</v>
      </c>
      <c r="B28" s="390">
        <f>157*B13</f>
        <v>73.528333333333336</v>
      </c>
      <c r="C28" s="371" t="s">
        <v>93</v>
      </c>
      <c r="D28" s="381">
        <f>B12</f>
        <v>81976020</v>
      </c>
      <c r="E28" s="371" t="s">
        <v>94</v>
      </c>
      <c r="F28" s="591" t="s">
        <v>96</v>
      </c>
      <c r="G28" s="591"/>
      <c r="H28" s="209"/>
      <c r="I28" s="199" t="s">
        <v>92</v>
      </c>
      <c r="J28" s="391">
        <f>1.01*J13</f>
        <v>1.5234166666666664E-3</v>
      </c>
      <c r="K28" s="371" t="s">
        <v>93</v>
      </c>
      <c r="L28" s="383">
        <f>J12</f>
        <v>6868347.0420000004</v>
      </c>
      <c r="M28" s="371" t="s">
        <v>94</v>
      </c>
      <c r="N28" s="382">
        <v>0.13800000000000001</v>
      </c>
      <c r="O28" s="371" t="s">
        <v>95</v>
      </c>
      <c r="P28" s="558"/>
      <c r="Q28" s="384" t="s">
        <v>96</v>
      </c>
    </row>
    <row r="29" spans="1:17" ht="14.25" customHeight="1" x14ac:dyDescent="0.25">
      <c r="A29" s="84"/>
      <c r="B29" s="561">
        <v>1000</v>
      </c>
      <c r="C29" s="193" t="s">
        <v>94</v>
      </c>
      <c r="D29" s="561"/>
      <c r="E29" s="193" t="s">
        <v>65</v>
      </c>
      <c r="F29" s="209">
        <v>2000</v>
      </c>
      <c r="G29" s="84" t="s">
        <v>93</v>
      </c>
      <c r="H29" s="209"/>
      <c r="I29" s="84"/>
      <c r="J29" s="385"/>
      <c r="K29" s="386" t="s">
        <v>95</v>
      </c>
      <c r="L29" s="561"/>
      <c r="M29" s="193" t="s">
        <v>65</v>
      </c>
      <c r="N29" s="561"/>
      <c r="O29" s="193" t="s">
        <v>94</v>
      </c>
      <c r="P29" s="209">
        <v>2000</v>
      </c>
      <c r="Q29" s="387" t="s">
        <v>93</v>
      </c>
    </row>
    <row r="32" spans="1:17" ht="14.25" customHeight="1" x14ac:dyDescent="0.2">
      <c r="A32" s="199" t="s">
        <v>92</v>
      </c>
      <c r="B32" s="196">
        <f>((B28/B29)*D28)/F29</f>
        <v>3013.7800619499999</v>
      </c>
      <c r="C32" s="202" t="s">
        <v>96</v>
      </c>
      <c r="D32" s="199" t="s">
        <v>92</v>
      </c>
      <c r="E32" s="196">
        <f>B32*(2000/8760)</f>
        <v>688.07763971461179</v>
      </c>
      <c r="F32" s="202" t="s">
        <v>93</v>
      </c>
      <c r="G32" s="84"/>
      <c r="H32" s="84"/>
      <c r="I32" s="199" t="s">
        <v>92</v>
      </c>
      <c r="J32" s="196">
        <f>(J28*L28*N28)/P29</f>
        <v>0.72197145058011147</v>
      </c>
      <c r="K32" s="202" t="s">
        <v>96</v>
      </c>
      <c r="L32" s="199" t="s">
        <v>92</v>
      </c>
      <c r="M32" s="196">
        <f>J32*(2000/8760)</f>
        <v>0.16483366451600717</v>
      </c>
      <c r="N32" s="202" t="s">
        <v>93</v>
      </c>
      <c r="O32" s="84"/>
      <c r="P32" s="84"/>
      <c r="Q32" s="84"/>
    </row>
    <row r="33" spans="1:17" ht="14.25" customHeight="1" x14ac:dyDescent="0.2">
      <c r="A33" s="84"/>
      <c r="B33" s="84"/>
      <c r="C33" s="194" t="s">
        <v>65</v>
      </c>
      <c r="D33" s="84"/>
      <c r="E33" s="84"/>
      <c r="F33" s="194" t="s">
        <v>98</v>
      </c>
      <c r="G33" s="84"/>
      <c r="H33" s="84"/>
      <c r="I33" s="84"/>
      <c r="J33" s="84"/>
      <c r="K33" s="194" t="s">
        <v>65</v>
      </c>
      <c r="L33" s="84"/>
      <c r="M33" s="84"/>
      <c r="N33" s="194" t="s">
        <v>98</v>
      </c>
      <c r="O33" s="84"/>
      <c r="P33" s="84"/>
      <c r="Q33" s="84"/>
    </row>
    <row r="36" spans="1:17" ht="14.25" customHeight="1" x14ac:dyDescent="0.2">
      <c r="A36" s="84" t="s">
        <v>100</v>
      </c>
      <c r="B36" s="84"/>
      <c r="C36" s="84"/>
      <c r="D36" s="84"/>
      <c r="E36" s="84"/>
      <c r="F36" s="84"/>
      <c r="G36" s="84"/>
      <c r="H36" s="84"/>
      <c r="I36" s="84" t="s">
        <v>100</v>
      </c>
      <c r="J36" s="84"/>
      <c r="K36" s="84"/>
      <c r="L36" s="84"/>
      <c r="M36" s="84"/>
      <c r="N36" s="84"/>
      <c r="O36" s="84"/>
      <c r="P36" s="84"/>
      <c r="Q36" s="84"/>
    </row>
    <row r="38" spans="1:17" ht="14.25" customHeight="1" x14ac:dyDescent="0.2">
      <c r="A38" s="199" t="s">
        <v>92</v>
      </c>
      <c r="B38" s="208">
        <v>0.33</v>
      </c>
      <c r="C38" s="200" t="s">
        <v>93</v>
      </c>
      <c r="D38" s="109">
        <f>B12</f>
        <v>81976020</v>
      </c>
      <c r="E38" s="146" t="s">
        <v>94</v>
      </c>
      <c r="F38" s="580" t="s">
        <v>243</v>
      </c>
      <c r="G38" s="580"/>
      <c r="H38" s="580" t="s">
        <v>96</v>
      </c>
      <c r="I38" s="580"/>
      <c r="J38" s="382">
        <v>0.88</v>
      </c>
      <c r="K38" s="371" t="s">
        <v>93</v>
      </c>
      <c r="L38" s="383">
        <f>J12</f>
        <v>6868347.0420000004</v>
      </c>
      <c r="M38" s="371" t="s">
        <v>94</v>
      </c>
      <c r="N38" s="382">
        <v>0.13800000000000001</v>
      </c>
      <c r="O38" s="371" t="s">
        <v>95</v>
      </c>
      <c r="P38" s="558"/>
      <c r="Q38" s="384" t="s">
        <v>96</v>
      </c>
    </row>
    <row r="39" spans="1:17" ht="14.25" customHeight="1" x14ac:dyDescent="0.25">
      <c r="A39" s="84"/>
      <c r="B39" s="147"/>
      <c r="C39" s="123" t="s">
        <v>136</v>
      </c>
      <c r="D39" s="561"/>
      <c r="E39" s="193" t="s">
        <v>65</v>
      </c>
      <c r="F39" s="147" t="s">
        <v>94</v>
      </c>
      <c r="G39" s="123"/>
      <c r="H39" s="147">
        <v>2000</v>
      </c>
      <c r="I39" s="123" t="s">
        <v>93</v>
      </c>
      <c r="J39" s="385"/>
      <c r="K39" s="386" t="s">
        <v>95</v>
      </c>
      <c r="L39" s="561"/>
      <c r="M39" s="193" t="s">
        <v>65</v>
      </c>
      <c r="N39" s="561"/>
      <c r="O39" s="193" t="s">
        <v>94</v>
      </c>
      <c r="P39" s="209">
        <v>2000</v>
      </c>
      <c r="Q39" s="387" t="s">
        <v>93</v>
      </c>
    </row>
    <row r="42" spans="1:17" ht="14.25" customHeight="1" x14ac:dyDescent="0.2">
      <c r="A42" s="199" t="s">
        <v>92</v>
      </c>
      <c r="B42" s="196">
        <f>B38*D38*0.15/2000</f>
        <v>2028.9064950000002</v>
      </c>
      <c r="C42" s="202" t="s">
        <v>96</v>
      </c>
      <c r="D42" s="84"/>
      <c r="E42" s="84"/>
      <c r="F42" s="84"/>
      <c r="G42" s="84"/>
      <c r="J42" s="196">
        <f>(J38*L38*N38)/P39</f>
        <v>417.04603239024004</v>
      </c>
      <c r="K42" s="202" t="s">
        <v>96</v>
      </c>
      <c r="L42" s="199" t="s">
        <v>92</v>
      </c>
      <c r="M42" s="196">
        <f>J42*(2000/8760)</f>
        <v>95.215989130191787</v>
      </c>
      <c r="N42" s="202" t="s">
        <v>93</v>
      </c>
      <c r="O42" s="84"/>
      <c r="P42" s="84"/>
      <c r="Q42" s="84"/>
    </row>
    <row r="43" spans="1:17" ht="14.25" customHeight="1" x14ac:dyDescent="0.2">
      <c r="A43" s="84"/>
      <c r="B43" s="84"/>
      <c r="C43" s="194" t="s">
        <v>65</v>
      </c>
      <c r="D43" s="84"/>
      <c r="E43" s="84"/>
      <c r="F43" s="84"/>
      <c r="G43" s="84"/>
      <c r="J43" s="84"/>
      <c r="K43" s="194" t="s">
        <v>65</v>
      </c>
      <c r="L43" s="84"/>
      <c r="M43" s="84"/>
      <c r="N43" s="194" t="s">
        <v>98</v>
      </c>
      <c r="O43" s="84"/>
      <c r="P43" s="84"/>
      <c r="Q43" s="84"/>
    </row>
    <row r="46" spans="1:17" ht="14.25" customHeight="1" x14ac:dyDescent="0.2">
      <c r="A46" s="84" t="s">
        <v>101</v>
      </c>
      <c r="B46" s="84"/>
      <c r="C46" s="84"/>
      <c r="D46" s="84"/>
      <c r="E46" s="84"/>
      <c r="F46" s="84"/>
      <c r="G46" s="84"/>
      <c r="H46" s="84"/>
      <c r="I46" s="84" t="s">
        <v>101</v>
      </c>
      <c r="J46" s="84"/>
      <c r="K46" s="84"/>
      <c r="L46" s="84"/>
      <c r="M46" s="84"/>
      <c r="N46" s="84"/>
      <c r="O46" s="84"/>
      <c r="P46" s="84"/>
      <c r="Q46" s="84"/>
    </row>
    <row r="48" spans="1:17" ht="14.25" customHeight="1" x14ac:dyDescent="0.2">
      <c r="A48" s="199" t="s">
        <v>92</v>
      </c>
      <c r="B48" s="558">
        <v>0.76</v>
      </c>
      <c r="C48" s="371" t="s">
        <v>93</v>
      </c>
      <c r="D48" s="383">
        <f>B12</f>
        <v>81976020</v>
      </c>
      <c r="E48" s="371" t="s">
        <v>94</v>
      </c>
      <c r="F48" s="591" t="s">
        <v>96</v>
      </c>
      <c r="G48" s="591"/>
      <c r="H48" s="209"/>
      <c r="I48" s="199" t="s">
        <v>92</v>
      </c>
      <c r="J48" s="382">
        <v>4.0999999999999999E-4</v>
      </c>
      <c r="K48" s="371" t="s">
        <v>93</v>
      </c>
      <c r="L48" s="383">
        <f>J12</f>
        <v>6868347.0420000004</v>
      </c>
      <c r="M48" s="371" t="s">
        <v>94</v>
      </c>
      <c r="N48" s="382">
        <v>0.13800000000000001</v>
      </c>
      <c r="O48" s="371" t="s">
        <v>95</v>
      </c>
      <c r="P48" s="558"/>
      <c r="Q48" s="384" t="s">
        <v>96</v>
      </c>
    </row>
    <row r="49" spans="1:17" ht="14.25" customHeight="1" x14ac:dyDescent="0.25">
      <c r="A49" s="84"/>
      <c r="B49" s="561">
        <v>1000</v>
      </c>
      <c r="C49" s="193" t="s">
        <v>94</v>
      </c>
      <c r="D49" s="561"/>
      <c r="E49" s="193" t="s">
        <v>65</v>
      </c>
      <c r="F49" s="209">
        <v>2000</v>
      </c>
      <c r="G49" s="84" t="s">
        <v>93</v>
      </c>
      <c r="H49" s="209"/>
      <c r="I49" s="84"/>
      <c r="J49" s="385"/>
      <c r="K49" s="386" t="s">
        <v>95</v>
      </c>
      <c r="L49" s="561"/>
      <c r="M49" s="193" t="s">
        <v>65</v>
      </c>
      <c r="N49" s="561"/>
      <c r="O49" s="193" t="s">
        <v>94</v>
      </c>
      <c r="P49" s="209">
        <v>2000</v>
      </c>
      <c r="Q49" s="387" t="s">
        <v>93</v>
      </c>
    </row>
    <row r="52" spans="1:17" ht="14.25" customHeight="1" x14ac:dyDescent="0.2">
      <c r="A52" s="199" t="s">
        <v>92</v>
      </c>
      <c r="B52" s="196">
        <f>((B48/B49)*D48)/F49</f>
        <v>31.150887600000001</v>
      </c>
      <c r="C52" s="202" t="s">
        <v>96</v>
      </c>
      <c r="D52" s="199" t="s">
        <v>92</v>
      </c>
      <c r="E52" s="196">
        <f>B52*(2000/8760)</f>
        <v>7.1120747945205478</v>
      </c>
      <c r="F52" s="202" t="s">
        <v>93</v>
      </c>
      <c r="G52" s="84"/>
      <c r="H52" s="84"/>
      <c r="I52" s="199" t="s">
        <v>92</v>
      </c>
      <c r="J52" s="388">
        <f>(J48*L48*N48)/P49</f>
        <v>0.19430553781818002</v>
      </c>
      <c r="K52" s="202" t="s">
        <v>96</v>
      </c>
      <c r="L52" s="199" t="s">
        <v>92</v>
      </c>
      <c r="M52" s="388">
        <f>J52*(2000/8760)</f>
        <v>4.4361994935657539E-2</v>
      </c>
      <c r="N52" s="202" t="s">
        <v>93</v>
      </c>
      <c r="O52" s="84"/>
      <c r="P52" s="84"/>
      <c r="Q52" s="84"/>
    </row>
    <row r="53" spans="1:17" ht="14.25" customHeight="1" x14ac:dyDescent="0.2">
      <c r="A53" s="84"/>
      <c r="B53" s="84"/>
      <c r="C53" s="194" t="s">
        <v>65</v>
      </c>
      <c r="D53" s="84"/>
      <c r="E53" s="84"/>
      <c r="F53" s="194" t="s">
        <v>98</v>
      </c>
      <c r="G53" s="84"/>
      <c r="H53" s="84"/>
      <c r="I53" s="84"/>
      <c r="J53" s="84"/>
      <c r="K53" s="194" t="s">
        <v>65</v>
      </c>
      <c r="L53" s="84"/>
      <c r="M53" s="84"/>
      <c r="N53" s="194" t="s">
        <v>98</v>
      </c>
      <c r="O53" s="84"/>
      <c r="P53" s="84"/>
      <c r="Q53" s="84"/>
    </row>
    <row r="56" spans="1:17" ht="14.25" customHeight="1" x14ac:dyDescent="0.2">
      <c r="A56" s="84" t="s">
        <v>102</v>
      </c>
      <c r="B56" s="84"/>
      <c r="C56" s="84"/>
      <c r="D56" s="84"/>
      <c r="E56" s="84"/>
      <c r="F56" s="84"/>
      <c r="G56" s="84"/>
      <c r="H56" s="84"/>
      <c r="I56" s="84" t="s">
        <v>102</v>
      </c>
      <c r="J56" s="84"/>
      <c r="K56" s="84"/>
      <c r="L56" s="84"/>
      <c r="M56" s="84"/>
      <c r="N56" s="84"/>
      <c r="O56" s="84"/>
      <c r="P56" s="84"/>
      <c r="Q56" s="84"/>
    </row>
    <row r="58" spans="1:17" ht="14.25" customHeight="1" x14ac:dyDescent="0.2">
      <c r="A58" s="199" t="s">
        <v>92</v>
      </c>
      <c r="B58" s="558">
        <v>5</v>
      </c>
      <c r="C58" s="371" t="s">
        <v>93</v>
      </c>
      <c r="D58" s="383">
        <f>B12</f>
        <v>81976020</v>
      </c>
      <c r="E58" s="371" t="s">
        <v>94</v>
      </c>
      <c r="F58" s="591" t="s">
        <v>96</v>
      </c>
      <c r="G58" s="591"/>
      <c r="H58" s="209"/>
      <c r="I58" s="199" t="s">
        <v>92</v>
      </c>
      <c r="J58" s="382">
        <v>3.3E-3</v>
      </c>
      <c r="K58" s="371" t="s">
        <v>93</v>
      </c>
      <c r="L58" s="383">
        <f>J12</f>
        <v>6868347.0420000004</v>
      </c>
      <c r="M58" s="371" t="s">
        <v>94</v>
      </c>
      <c r="N58" s="382">
        <v>0.13800000000000001</v>
      </c>
      <c r="O58" s="371" t="s">
        <v>95</v>
      </c>
      <c r="P58" s="558"/>
      <c r="Q58" s="384" t="s">
        <v>96</v>
      </c>
    </row>
    <row r="59" spans="1:17" ht="14.25" customHeight="1" x14ac:dyDescent="0.25">
      <c r="A59" s="84"/>
      <c r="B59" s="561">
        <v>1000</v>
      </c>
      <c r="C59" s="193" t="s">
        <v>94</v>
      </c>
      <c r="D59" s="561"/>
      <c r="E59" s="193" t="s">
        <v>65</v>
      </c>
      <c r="F59" s="209">
        <v>2000</v>
      </c>
      <c r="G59" s="84" t="s">
        <v>93</v>
      </c>
      <c r="H59" s="209"/>
      <c r="I59" s="84"/>
      <c r="J59" s="385"/>
      <c r="K59" s="386" t="s">
        <v>95</v>
      </c>
      <c r="L59" s="561"/>
      <c r="M59" s="193" t="s">
        <v>65</v>
      </c>
      <c r="N59" s="561"/>
      <c r="O59" s="193" t="s">
        <v>94</v>
      </c>
      <c r="P59" s="209">
        <v>2000</v>
      </c>
      <c r="Q59" s="387" t="s">
        <v>93</v>
      </c>
    </row>
    <row r="62" spans="1:17" ht="14.25" customHeight="1" x14ac:dyDescent="0.2">
      <c r="A62" s="199" t="s">
        <v>92</v>
      </c>
      <c r="B62" s="388">
        <f>((B58/B59)*D58)/F59</f>
        <v>204.94005000000001</v>
      </c>
      <c r="C62" s="202" t="s">
        <v>96</v>
      </c>
      <c r="D62" s="199" t="s">
        <v>92</v>
      </c>
      <c r="E62" s="388">
        <f>B62*(2000/8760)</f>
        <v>46.78996575342466</v>
      </c>
      <c r="F62" s="202" t="s">
        <v>93</v>
      </c>
      <c r="G62" s="84"/>
      <c r="H62" s="84"/>
      <c r="I62" s="199" t="s">
        <v>92</v>
      </c>
      <c r="J62" s="388">
        <f>(J58*L58*N58)/P59</f>
        <v>1.5639226214634001</v>
      </c>
      <c r="K62" s="202" t="s">
        <v>96</v>
      </c>
      <c r="L62" s="199" t="s">
        <v>92</v>
      </c>
      <c r="M62" s="388">
        <f>J62*(2000/8760)</f>
        <v>0.3570599592382192</v>
      </c>
      <c r="N62" s="202" t="s">
        <v>93</v>
      </c>
      <c r="O62" s="84"/>
      <c r="P62" s="84"/>
      <c r="Q62" s="84"/>
    </row>
    <row r="63" spans="1:17" ht="14.25" customHeight="1" x14ac:dyDescent="0.2">
      <c r="A63" s="84"/>
      <c r="B63" s="84"/>
      <c r="C63" s="194" t="s">
        <v>65</v>
      </c>
      <c r="D63" s="84"/>
      <c r="E63" s="84"/>
      <c r="F63" s="194" t="s">
        <v>98</v>
      </c>
      <c r="G63" s="84"/>
      <c r="H63" s="84"/>
      <c r="I63" s="84"/>
      <c r="J63" s="84"/>
      <c r="K63" s="194" t="s">
        <v>65</v>
      </c>
      <c r="L63" s="84"/>
      <c r="M63" s="84"/>
      <c r="N63" s="194" t="s">
        <v>98</v>
      </c>
      <c r="O63" s="84"/>
      <c r="P63" s="84"/>
      <c r="Q63" s="84"/>
    </row>
    <row r="66" spans="1:18" ht="14.25" customHeight="1" x14ac:dyDescent="0.2">
      <c r="A66" s="84" t="s">
        <v>103</v>
      </c>
      <c r="B66" s="84"/>
      <c r="C66" s="84"/>
      <c r="D66" s="84"/>
      <c r="E66" s="84"/>
      <c r="F66" s="84"/>
      <c r="G66" s="84"/>
      <c r="H66" s="84"/>
      <c r="I66" s="84" t="s">
        <v>103</v>
      </c>
      <c r="J66" s="84"/>
      <c r="K66" s="84"/>
      <c r="L66" s="84"/>
      <c r="M66" s="84"/>
      <c r="N66" s="84"/>
      <c r="O66" s="84"/>
      <c r="P66" s="84"/>
      <c r="Q66" s="84"/>
    </row>
    <row r="68" spans="1:18" ht="14.25" customHeight="1" x14ac:dyDescent="0.2">
      <c r="A68" s="199" t="s">
        <v>92</v>
      </c>
      <c r="B68" s="558">
        <v>1.5100000000000001E-3</v>
      </c>
      <c r="C68" s="371" t="s">
        <v>93</v>
      </c>
      <c r="D68" s="383">
        <f>B12</f>
        <v>81976020</v>
      </c>
      <c r="E68" s="371" t="s">
        <v>94</v>
      </c>
      <c r="F68" s="591" t="s">
        <v>96</v>
      </c>
      <c r="G68" s="591"/>
      <c r="H68" s="209"/>
      <c r="I68" s="199" t="s">
        <v>92</v>
      </c>
      <c r="J68" s="382">
        <v>1.4E-5</v>
      </c>
      <c r="K68" s="371" t="s">
        <v>93</v>
      </c>
      <c r="L68" s="383">
        <f>J12</f>
        <v>6868347.0420000004</v>
      </c>
      <c r="M68" s="371" t="s">
        <v>94</v>
      </c>
      <c r="N68" s="382">
        <v>0.13800000000000001</v>
      </c>
      <c r="O68" s="371" t="s">
        <v>95</v>
      </c>
      <c r="P68" s="558"/>
      <c r="Q68" s="384" t="s">
        <v>96</v>
      </c>
    </row>
    <row r="69" spans="1:18" ht="14.25" customHeight="1" x14ac:dyDescent="0.25">
      <c r="A69" s="84"/>
      <c r="B69" s="561">
        <v>1000</v>
      </c>
      <c r="C69" s="193" t="s">
        <v>94</v>
      </c>
      <c r="D69" s="561"/>
      <c r="E69" s="193" t="s">
        <v>65</v>
      </c>
      <c r="F69" s="209">
        <v>2000</v>
      </c>
      <c r="G69" s="84" t="s">
        <v>93</v>
      </c>
      <c r="H69" s="209"/>
      <c r="I69" s="84"/>
      <c r="J69" s="385"/>
      <c r="K69" s="386" t="s">
        <v>95</v>
      </c>
      <c r="L69" s="561"/>
      <c r="M69" s="193" t="s">
        <v>65</v>
      </c>
      <c r="N69" s="561"/>
      <c r="O69" s="193" t="s">
        <v>94</v>
      </c>
      <c r="P69" s="209">
        <v>2000</v>
      </c>
      <c r="Q69" s="387" t="s">
        <v>93</v>
      </c>
    </row>
    <row r="72" spans="1:18" ht="14.25" customHeight="1" x14ac:dyDescent="0.2">
      <c r="A72" s="199" t="s">
        <v>92</v>
      </c>
      <c r="B72" s="196">
        <f>((B68/B69)*D68)/F69</f>
        <v>6.1891895100000004E-2</v>
      </c>
      <c r="C72" s="202" t="s">
        <v>96</v>
      </c>
      <c r="D72" s="199" t="s">
        <v>92</v>
      </c>
      <c r="E72" s="388">
        <f>B72*(2000/8760)</f>
        <v>1.4130569657534247E-2</v>
      </c>
      <c r="F72" s="202" t="s">
        <v>93</v>
      </c>
      <c r="G72" s="84"/>
      <c r="H72" s="84"/>
      <c r="I72" s="199" t="s">
        <v>92</v>
      </c>
      <c r="J72" s="392">
        <f>(J68*L68*N68)/P69</f>
        <v>6.6348232425720004E-3</v>
      </c>
      <c r="K72" s="202" t="s">
        <v>96</v>
      </c>
      <c r="L72" s="199" t="s">
        <v>92</v>
      </c>
      <c r="M72" s="392">
        <f>J72*(2000/8760)</f>
        <v>1.5147998270712329E-3</v>
      </c>
      <c r="N72" s="202" t="s">
        <v>93</v>
      </c>
      <c r="O72" s="84"/>
      <c r="P72" s="84"/>
      <c r="Q72" s="84"/>
    </row>
    <row r="73" spans="1:18" ht="14.25" customHeight="1" x14ac:dyDescent="0.2">
      <c r="A73" s="84"/>
      <c r="B73" s="84"/>
      <c r="C73" s="194" t="s">
        <v>65</v>
      </c>
      <c r="D73" s="84"/>
      <c r="E73" s="84"/>
      <c r="F73" s="194" t="s">
        <v>98</v>
      </c>
      <c r="G73" s="84"/>
      <c r="H73" s="84"/>
      <c r="I73" s="84"/>
      <c r="J73" s="84"/>
      <c r="K73" s="194" t="s">
        <v>65</v>
      </c>
      <c r="L73" s="84"/>
      <c r="M73" s="84"/>
      <c r="N73" s="194" t="s">
        <v>98</v>
      </c>
      <c r="O73" s="84"/>
      <c r="P73" s="84"/>
      <c r="Q73" s="84"/>
    </row>
    <row r="76" spans="1:18" ht="14.25" customHeight="1" x14ac:dyDescent="0.2">
      <c r="A76" s="84" t="s">
        <v>104</v>
      </c>
      <c r="B76" s="84"/>
      <c r="C76" s="84"/>
      <c r="D76" s="84"/>
      <c r="E76" s="84"/>
      <c r="F76" s="84"/>
      <c r="G76" s="84"/>
      <c r="J76" s="84" t="s">
        <v>104</v>
      </c>
      <c r="K76" s="84"/>
      <c r="L76" s="84"/>
      <c r="M76" s="84"/>
      <c r="N76" s="84"/>
      <c r="O76" s="84"/>
      <c r="P76" s="84"/>
      <c r="Q76" s="84"/>
      <c r="R76" s="84"/>
    </row>
    <row r="78" spans="1:18" ht="14.25" customHeight="1" x14ac:dyDescent="0.2">
      <c r="A78" s="199" t="s">
        <v>92</v>
      </c>
      <c r="B78" s="205">
        <f>V13</f>
        <v>24.631667341468056</v>
      </c>
      <c r="C78" s="200" t="s">
        <v>93</v>
      </c>
      <c r="D78" s="109">
        <f>D68</f>
        <v>81976020</v>
      </c>
      <c r="E78" s="146" t="s">
        <v>94</v>
      </c>
      <c r="F78" s="580" t="s">
        <v>96</v>
      </c>
      <c r="G78" s="580"/>
      <c r="J78" s="199" t="s">
        <v>92</v>
      </c>
      <c r="K78" s="205">
        <f>V14</f>
        <v>22.578420600240001</v>
      </c>
      <c r="L78" s="200" t="s">
        <v>93</v>
      </c>
      <c r="M78" s="109">
        <f>L68</f>
        <v>6868347.0420000004</v>
      </c>
      <c r="N78" s="146" t="s">
        <v>94</v>
      </c>
      <c r="O78" s="580" t="s">
        <v>96</v>
      </c>
      <c r="P78" s="580"/>
    </row>
    <row r="79" spans="1:18" ht="14.25" customHeight="1" x14ac:dyDescent="0.2">
      <c r="A79" s="84"/>
      <c r="B79" s="147"/>
      <c r="C79" s="123" t="s">
        <v>94</v>
      </c>
      <c r="D79" s="561"/>
      <c r="E79" s="193" t="s">
        <v>65</v>
      </c>
      <c r="F79" s="147">
        <v>2000</v>
      </c>
      <c r="G79" s="123" t="s">
        <v>93</v>
      </c>
      <c r="J79" s="84"/>
      <c r="K79" s="147"/>
      <c r="L79" s="123" t="s">
        <v>94</v>
      </c>
      <c r="M79" s="561"/>
      <c r="N79" s="193" t="s">
        <v>65</v>
      </c>
      <c r="O79" s="147">
        <v>2000</v>
      </c>
      <c r="P79" s="123" t="s">
        <v>93</v>
      </c>
    </row>
    <row r="80" spans="1:18" ht="14.25" customHeight="1" x14ac:dyDescent="0.25">
      <c r="N80" s="393"/>
    </row>
    <row r="82" spans="1:16" ht="14.25" customHeight="1" x14ac:dyDescent="0.2">
      <c r="A82" s="199" t="s">
        <v>92</v>
      </c>
      <c r="B82" s="196">
        <f>B78*D78/F79</f>
        <v>1009603.0273087661</v>
      </c>
      <c r="C82" s="202" t="s">
        <v>96</v>
      </c>
      <c r="D82" s="84"/>
      <c r="E82" s="84"/>
      <c r="F82" s="84"/>
      <c r="G82" s="84"/>
      <c r="J82" s="199" t="s">
        <v>92</v>
      </c>
      <c r="K82" s="196">
        <f>K78*M78/O79</f>
        <v>77538.214171345142</v>
      </c>
      <c r="L82" s="202" t="s">
        <v>96</v>
      </c>
      <c r="M82" s="84"/>
      <c r="N82" s="84"/>
      <c r="O82" s="84"/>
      <c r="P82" s="84"/>
    </row>
    <row r="83" spans="1:16" ht="14.25" customHeight="1" x14ac:dyDescent="0.2">
      <c r="A83" s="84"/>
      <c r="B83" s="84"/>
      <c r="C83" s="194" t="s">
        <v>65</v>
      </c>
      <c r="D83" s="84"/>
      <c r="E83" s="84"/>
      <c r="F83" s="84"/>
      <c r="G83" s="84"/>
      <c r="J83" s="84"/>
      <c r="K83" s="84"/>
      <c r="L83" s="194" t="s">
        <v>65</v>
      </c>
      <c r="M83" s="84"/>
      <c r="N83" s="84"/>
      <c r="O83" s="84"/>
      <c r="P83" s="84"/>
    </row>
  </sheetData>
  <mergeCells count="13">
    <mergeCell ref="F68:G68"/>
    <mergeCell ref="F78:G78"/>
    <mergeCell ref="O78:P78"/>
    <mergeCell ref="F28:G28"/>
    <mergeCell ref="F38:G38"/>
    <mergeCell ref="H38:I38"/>
    <mergeCell ref="F48:G48"/>
    <mergeCell ref="F58:G58"/>
    <mergeCell ref="A1:H1"/>
    <mergeCell ref="I1:Q1"/>
    <mergeCell ref="A3:C3"/>
    <mergeCell ref="I3:K3"/>
    <mergeCell ref="F18:G1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83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2" width="18.28515625" customWidth="1"/>
    <col min="3" max="3" width="16.5703125" customWidth="1"/>
    <col min="4" max="4" width="12.42578125" customWidth="1"/>
    <col min="5" max="5" width="11.5703125" customWidth="1"/>
    <col min="6" max="6" width="13.5703125" customWidth="1"/>
    <col min="7" max="7" width="4.85546875" customWidth="1"/>
    <col min="8" max="8" width="12" customWidth="1"/>
    <col min="9" max="9" width="8.28515625" customWidth="1"/>
    <col min="10" max="10" width="5.5703125" customWidth="1"/>
    <col min="11" max="11" width="3.42578125" customWidth="1"/>
    <col min="12" max="12" width="7.28515625" customWidth="1"/>
    <col min="13" max="13" width="12.7109375" customWidth="1"/>
    <col min="14" max="14" width="8.5703125" customWidth="1"/>
    <col min="15" max="15" width="9.140625" customWidth="1"/>
    <col min="16" max="16" width="8.28515625" customWidth="1"/>
    <col min="17" max="17" width="1.7109375" customWidth="1"/>
    <col min="18" max="18" width="8" customWidth="1"/>
    <col min="19" max="19" width="8.28515625" customWidth="1"/>
    <col min="20" max="20" width="5.5703125" customWidth="1"/>
    <col min="21" max="21" width="3.42578125" customWidth="1"/>
    <col min="23" max="23" width="12" customWidth="1"/>
  </cols>
  <sheetData>
    <row r="1" spans="1:16" ht="14.25" customHeight="1" x14ac:dyDescent="0.2">
      <c r="A1" s="574" t="s">
        <v>277</v>
      </c>
      <c r="B1" s="574"/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</row>
    <row r="2" spans="1:16" ht="14.25" customHeight="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6" ht="51" customHeight="1" x14ac:dyDescent="0.2">
      <c r="A3" s="104" t="s">
        <v>106</v>
      </c>
      <c r="B3" s="105" t="s">
        <v>107</v>
      </c>
      <c r="C3" s="105" t="s">
        <v>198</v>
      </c>
      <c r="D3" s="106" t="s">
        <v>109</v>
      </c>
      <c r="E3" s="106" t="s">
        <v>110</v>
      </c>
      <c r="M3" s="103"/>
      <c r="N3" s="103"/>
      <c r="O3" s="103"/>
      <c r="P3" s="103"/>
    </row>
    <row r="4" spans="1:16" ht="14.25" customHeight="1" x14ac:dyDescent="0.2">
      <c r="A4" s="107" t="s">
        <v>20</v>
      </c>
      <c r="B4" s="108">
        <v>0.11</v>
      </c>
      <c r="C4" s="108">
        <v>0.1731</v>
      </c>
      <c r="D4" s="109">
        <f>B23</f>
        <v>143.30224334159999</v>
      </c>
      <c r="E4" s="110">
        <f>F23</f>
        <v>32.717407155616435</v>
      </c>
      <c r="J4" s="111"/>
      <c r="K4" s="112"/>
      <c r="L4" s="112"/>
      <c r="M4" s="103"/>
      <c r="N4" s="103"/>
      <c r="O4" s="103"/>
      <c r="P4" s="103"/>
    </row>
    <row r="5" spans="1:16" ht="14.25" customHeight="1" x14ac:dyDescent="0.2">
      <c r="A5" s="113" t="s">
        <v>21</v>
      </c>
      <c r="B5" s="114">
        <v>7.6999999999999999E-2</v>
      </c>
      <c r="C5" s="115">
        <v>3.4299999999999997E-2</v>
      </c>
      <c r="D5" s="116">
        <f>B29</f>
        <v>28.3955340648</v>
      </c>
      <c r="E5" s="117">
        <f>F29</f>
        <v>6.4829986449315067</v>
      </c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16" ht="14.25" customHeight="1" x14ac:dyDescent="0.2">
      <c r="A6" s="113" t="s">
        <v>22</v>
      </c>
      <c r="B6" s="114">
        <v>8.0999999999999996E-3</v>
      </c>
      <c r="C6" s="114">
        <v>7.1000000000000004E-3</v>
      </c>
      <c r="D6" s="116">
        <f>B35</f>
        <v>5.8777927656000006</v>
      </c>
      <c r="E6" s="117">
        <f>F35</f>
        <v>1.341961818630137</v>
      </c>
      <c r="F6" s="575" t="s">
        <v>111</v>
      </c>
      <c r="G6" s="575"/>
      <c r="H6" s="575"/>
      <c r="I6" s="575"/>
      <c r="J6" s="575"/>
      <c r="K6" s="575"/>
      <c r="L6" s="575"/>
      <c r="M6" s="575"/>
      <c r="N6" s="575"/>
      <c r="O6" s="118"/>
      <c r="P6" s="118"/>
    </row>
    <row r="7" spans="1:16" ht="14.25" customHeight="1" x14ac:dyDescent="0.2">
      <c r="A7" s="113" t="s">
        <v>17</v>
      </c>
      <c r="B7" s="394">
        <v>0.01</v>
      </c>
      <c r="C7" s="115">
        <v>1.77E-2</v>
      </c>
      <c r="D7" s="116">
        <f>B41</f>
        <v>14.653089007200002</v>
      </c>
      <c r="E7" s="117">
        <f>F41</f>
        <v>3.3454541112328768</v>
      </c>
      <c r="F7" s="119" t="s">
        <v>112</v>
      </c>
      <c r="G7" s="120" t="s">
        <v>278</v>
      </c>
      <c r="I7" s="120"/>
      <c r="J7" s="120"/>
      <c r="K7" s="120"/>
      <c r="L7" s="120"/>
      <c r="M7" s="120"/>
      <c r="N7" s="120"/>
      <c r="O7" s="120"/>
      <c r="P7" s="120"/>
    </row>
    <row r="8" spans="1:16" ht="14.25" customHeight="1" x14ac:dyDescent="0.2">
      <c r="A8" s="113" t="s">
        <v>18</v>
      </c>
      <c r="B8" s="394">
        <v>0.01</v>
      </c>
      <c r="C8" s="115">
        <v>1.77E-2</v>
      </c>
      <c r="D8" s="116">
        <f>B47</f>
        <v>14.653089007200002</v>
      </c>
      <c r="E8" s="121">
        <f>F47</f>
        <v>3.3454541112328768</v>
      </c>
      <c r="F8" s="122"/>
      <c r="G8" s="120" t="s">
        <v>279</v>
      </c>
      <c r="H8" s="120"/>
      <c r="I8" s="120"/>
      <c r="J8" s="120"/>
      <c r="K8" s="120"/>
      <c r="L8" s="120"/>
      <c r="M8" s="120"/>
      <c r="N8" s="120"/>
      <c r="O8" s="120"/>
    </row>
    <row r="9" spans="1:16" ht="14.25" customHeight="1" x14ac:dyDescent="0.2">
      <c r="A9" s="113" t="s">
        <v>40</v>
      </c>
      <c r="B9" s="394">
        <v>0.01</v>
      </c>
      <c r="C9" s="115">
        <v>1.77E-2</v>
      </c>
      <c r="D9" s="116">
        <f>B53</f>
        <v>14.653089007200002</v>
      </c>
      <c r="E9" s="117">
        <f>F53</f>
        <v>3.3454541112328768</v>
      </c>
      <c r="F9" s="123"/>
      <c r="G9" s="120" t="s">
        <v>115</v>
      </c>
      <c r="H9" s="120"/>
      <c r="I9" s="120"/>
      <c r="J9" s="120"/>
      <c r="K9" s="120"/>
      <c r="L9" s="120"/>
      <c r="M9" s="120"/>
      <c r="N9" s="120"/>
      <c r="O9" s="120"/>
    </row>
    <row r="10" spans="1:16" ht="14.25" customHeight="1" x14ac:dyDescent="0.2">
      <c r="A10" s="113" t="s">
        <v>19</v>
      </c>
      <c r="B10" s="395">
        <f>1*2/7000/100/1026*1000000</f>
        <v>2.7847396268448903E-3</v>
      </c>
      <c r="C10" s="115">
        <v>1.5E-3</v>
      </c>
      <c r="D10" s="116">
        <f>B59</f>
        <v>1.2417872040000002</v>
      </c>
      <c r="E10" s="117">
        <f>F59</f>
        <v>0.28351306027397261</v>
      </c>
      <c r="F10" s="123"/>
      <c r="G10" s="123"/>
      <c r="H10" s="122"/>
      <c r="I10" s="122"/>
      <c r="J10" s="122"/>
      <c r="K10" s="122"/>
      <c r="L10" s="122"/>
      <c r="M10" s="122"/>
      <c r="N10" s="122"/>
      <c r="O10" s="122"/>
      <c r="P10" s="122"/>
    </row>
    <row r="11" spans="1:16" ht="14.25" customHeight="1" x14ac:dyDescent="0.2">
      <c r="A11" s="113" t="s">
        <v>42</v>
      </c>
      <c r="B11" s="396">
        <f>B10*0.1*98/64</f>
        <v>4.2641325536062387E-4</v>
      </c>
      <c r="C11" s="396">
        <f>C10*0.1*98/64</f>
        <v>2.2968750000000002E-4</v>
      </c>
      <c r="D11" s="116">
        <f>B65</f>
        <v>0.19014866561250002</v>
      </c>
      <c r="E11" s="117">
        <f>F65</f>
        <v>4.3412937354452057E-2</v>
      </c>
      <c r="F11" s="125" t="s">
        <v>117</v>
      </c>
      <c r="G11" s="120" t="s">
        <v>118</v>
      </c>
      <c r="H11" s="120"/>
      <c r="I11" s="120"/>
      <c r="J11" s="120"/>
      <c r="K11" s="120"/>
      <c r="L11" s="120"/>
      <c r="N11" s="122"/>
      <c r="O11" s="122"/>
      <c r="P11" s="122"/>
    </row>
    <row r="12" spans="1:16" ht="14.25" customHeight="1" x14ac:dyDescent="0.2">
      <c r="A12" s="113" t="s">
        <v>23</v>
      </c>
      <c r="B12" s="114">
        <v>0</v>
      </c>
      <c r="C12" s="126">
        <v>1.4E-5</v>
      </c>
      <c r="D12" s="116">
        <f>B71</f>
        <v>1.1590013904000001E-2</v>
      </c>
      <c r="E12" s="117">
        <f>F71</f>
        <v>2.6461218958904113E-3</v>
      </c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</row>
    <row r="13" spans="1:16" ht="14.25" customHeight="1" x14ac:dyDescent="0.2">
      <c r="A13" s="113" t="s">
        <v>24</v>
      </c>
      <c r="B13" s="397">
        <f>(53.06+0.001*25+0.0001*298)*2.2046</f>
        <v>117.09688808000001</v>
      </c>
      <c r="C13" s="397">
        <v>163.61000000000001</v>
      </c>
      <c r="D13" s="127">
        <f>B77</f>
        <v>135445.86963096002</v>
      </c>
      <c r="E13" s="128">
        <f>F77</f>
        <v>30923.714527616441</v>
      </c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</row>
    <row r="14" spans="1:16" ht="14.25" customHeight="1" x14ac:dyDescent="0.2">
      <c r="A14" s="129" t="s">
        <v>43</v>
      </c>
      <c r="B14" s="130">
        <v>0</v>
      </c>
      <c r="C14" s="131">
        <v>0</v>
      </c>
      <c r="D14" s="132">
        <v>0</v>
      </c>
      <c r="E14" s="133">
        <v>0</v>
      </c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16" ht="14.25" customHeight="1" x14ac:dyDescent="0.2">
      <c r="A15" s="134"/>
      <c r="B15" s="134"/>
      <c r="C15" s="134"/>
      <c r="D15" s="134"/>
      <c r="E15" s="111"/>
      <c r="H15" s="103"/>
      <c r="I15" s="103"/>
      <c r="J15" s="103"/>
      <c r="K15" s="103"/>
      <c r="L15" s="103"/>
      <c r="M15" s="103"/>
      <c r="N15" s="103"/>
      <c r="O15" s="103"/>
      <c r="P15" s="103"/>
    </row>
    <row r="16" spans="1:16" ht="14.25" customHeight="1" x14ac:dyDescent="0.2">
      <c r="A16" s="135" t="s">
        <v>203</v>
      </c>
      <c r="B16" s="136">
        <f>SUM('Palo Seco'!B84+'Palo Seco'!C84+'Palo Seco'!D84)</f>
        <v>11997944</v>
      </c>
      <c r="C16" s="136"/>
      <c r="D16" s="137" t="s">
        <v>89</v>
      </c>
      <c r="H16" s="103"/>
      <c r="I16" s="103"/>
      <c r="J16" s="103"/>
      <c r="K16" s="103"/>
      <c r="L16" s="103"/>
      <c r="M16" s="103"/>
      <c r="N16" s="103"/>
      <c r="O16" s="103"/>
      <c r="P16" s="103"/>
    </row>
    <row r="17" spans="1:21" ht="14.25" customHeight="1" x14ac:dyDescent="0.2">
      <c r="A17" s="138" t="s">
        <v>124</v>
      </c>
      <c r="B17" s="139">
        <f>'Palo Seco'!I82</f>
        <v>0</v>
      </c>
      <c r="C17" s="139"/>
      <c r="D17" s="112" t="s">
        <v>125</v>
      </c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</row>
    <row r="18" spans="1:21" ht="14.25" customHeight="1" x14ac:dyDescent="0.25">
      <c r="A18" s="86" t="s">
        <v>204</v>
      </c>
      <c r="B18" s="211">
        <f>SUM('Palo Seco'!H83)</f>
        <v>0</v>
      </c>
      <c r="D18" t="s">
        <v>127</v>
      </c>
      <c r="M18" s="103"/>
      <c r="N18" s="103"/>
      <c r="O18" s="103"/>
      <c r="P18" s="103"/>
    </row>
    <row r="19" spans="1:21" ht="14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</row>
    <row r="20" spans="1:21" ht="14.25" customHeight="1" x14ac:dyDescent="0.2">
      <c r="A20" s="141" t="s">
        <v>128</v>
      </c>
      <c r="B20" s="142">
        <f>B16</f>
        <v>11997944</v>
      </c>
      <c r="C20" s="143"/>
      <c r="D20" s="144" t="s">
        <v>280</v>
      </c>
      <c r="E20" s="145">
        <v>0.13800000000000001</v>
      </c>
      <c r="F20" s="146" t="s">
        <v>130</v>
      </c>
      <c r="G20" s="576" t="s">
        <v>131</v>
      </c>
      <c r="H20" s="148">
        <f>C4</f>
        <v>0.1731</v>
      </c>
      <c r="I20" s="149" t="s">
        <v>132</v>
      </c>
      <c r="J20" s="148">
        <v>1</v>
      </c>
      <c r="K20" s="148" t="s">
        <v>96</v>
      </c>
      <c r="L20" s="150" t="s">
        <v>133</v>
      </c>
      <c r="M20" s="151">
        <f>B17</f>
        <v>0</v>
      </c>
      <c r="N20" s="146" t="s">
        <v>134</v>
      </c>
      <c r="O20" s="142">
        <v>1026</v>
      </c>
      <c r="P20" s="144" t="s">
        <v>135</v>
      </c>
      <c r="Q20" s="576" t="s">
        <v>131</v>
      </c>
      <c r="R20" s="148">
        <f>B4</f>
        <v>0.11</v>
      </c>
      <c r="S20" s="149" t="s">
        <v>132</v>
      </c>
      <c r="T20" s="148">
        <v>1</v>
      </c>
      <c r="U20" s="148" t="s">
        <v>96</v>
      </c>
    </row>
    <row r="21" spans="1:21" ht="14.25" customHeight="1" x14ac:dyDescent="0.2">
      <c r="A21" s="123"/>
      <c r="B21" s="147"/>
      <c r="C21" s="123"/>
      <c r="D21" s="152" t="s">
        <v>65</v>
      </c>
      <c r="E21" s="123"/>
      <c r="F21" s="562" t="s">
        <v>94</v>
      </c>
      <c r="G21" s="576"/>
      <c r="H21" s="103"/>
      <c r="I21" s="153" t="s">
        <v>136</v>
      </c>
      <c r="J21" s="154">
        <v>2000</v>
      </c>
      <c r="K21" s="103" t="s">
        <v>137</v>
      </c>
      <c r="L21" s="123"/>
      <c r="M21" s="123"/>
      <c r="N21" s="152" t="s">
        <v>65</v>
      </c>
      <c r="O21" s="155">
        <v>1000000</v>
      </c>
      <c r="P21" s="152" t="s">
        <v>74</v>
      </c>
      <c r="Q21" s="576"/>
      <c r="R21" s="103"/>
      <c r="S21" s="153" t="s">
        <v>136</v>
      </c>
      <c r="T21" s="154">
        <v>2000</v>
      </c>
      <c r="U21" s="103" t="s">
        <v>137</v>
      </c>
    </row>
    <row r="22" spans="1:21" ht="14.2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</row>
    <row r="23" spans="1:21" ht="14.25" customHeight="1" x14ac:dyDescent="0.25">
      <c r="A23" s="141"/>
      <c r="B23" s="156">
        <f>(B20*E20*H20+M20*O20*R20/1000000)/2000</f>
        <v>143.30224334159999</v>
      </c>
      <c r="C23" s="156"/>
      <c r="D23" s="103" t="s">
        <v>138</v>
      </c>
      <c r="E23" s="141" t="s">
        <v>92</v>
      </c>
      <c r="F23" s="111">
        <f>B23*(2000/8760)</f>
        <v>32.717407155616435</v>
      </c>
      <c r="G23" s="103" t="s">
        <v>139</v>
      </c>
      <c r="H23" s="157"/>
      <c r="I23" s="103"/>
      <c r="J23" s="103"/>
      <c r="K23" s="103"/>
      <c r="L23" s="103"/>
      <c r="M23" s="103"/>
      <c r="N23" s="103"/>
      <c r="O23" s="103"/>
      <c r="P23" s="103"/>
    </row>
    <row r="24" spans="1:21" ht="14.25" customHeight="1" x14ac:dyDescent="0.2">
      <c r="A24" s="103"/>
      <c r="B24" s="103"/>
      <c r="C24" s="103"/>
      <c r="D24" s="103"/>
      <c r="E24" s="103"/>
      <c r="F24" s="103"/>
      <c r="G24" s="103"/>
      <c r="H24" s="158"/>
      <c r="I24" s="158"/>
      <c r="J24" s="158"/>
      <c r="K24" s="103"/>
      <c r="L24" s="103"/>
      <c r="M24" s="103"/>
      <c r="N24" s="103"/>
      <c r="O24" s="103"/>
      <c r="P24" s="103"/>
    </row>
    <row r="25" spans="1:21" ht="14.25" customHeight="1" x14ac:dyDescent="0.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</row>
    <row r="26" spans="1:21" ht="14.25" customHeight="1" x14ac:dyDescent="0.2">
      <c r="A26" s="141" t="s">
        <v>140</v>
      </c>
      <c r="B26" s="142">
        <f>B16</f>
        <v>11997944</v>
      </c>
      <c r="C26" s="143"/>
      <c r="D26" s="144" t="s">
        <v>280</v>
      </c>
      <c r="E26" s="145">
        <v>0.13800000000000001</v>
      </c>
      <c r="F26" s="146" t="s">
        <v>130</v>
      </c>
      <c r="G26" s="576" t="s">
        <v>131</v>
      </c>
      <c r="H26" s="148">
        <f>C5</f>
        <v>3.4299999999999997E-2</v>
      </c>
      <c r="I26" s="149" t="s">
        <v>132</v>
      </c>
      <c r="J26" s="148">
        <v>1</v>
      </c>
      <c r="K26" s="148" t="s">
        <v>96</v>
      </c>
      <c r="L26" s="150" t="s">
        <v>133</v>
      </c>
      <c r="M26" s="151">
        <f>B17</f>
        <v>0</v>
      </c>
      <c r="N26" s="144" t="s">
        <v>134</v>
      </c>
      <c r="O26" s="143">
        <v>1026</v>
      </c>
      <c r="P26" s="144" t="s">
        <v>135</v>
      </c>
      <c r="Q26" s="147" t="s">
        <v>131</v>
      </c>
      <c r="R26" s="148">
        <f>B5</f>
        <v>7.6999999999999999E-2</v>
      </c>
      <c r="S26" s="149" t="s">
        <v>132</v>
      </c>
      <c r="T26" s="159">
        <v>1</v>
      </c>
      <c r="U26" s="148" t="s">
        <v>96</v>
      </c>
    </row>
    <row r="27" spans="1:21" ht="14.25" customHeight="1" x14ac:dyDescent="0.2">
      <c r="A27" s="123"/>
      <c r="B27" s="147"/>
      <c r="C27" s="123"/>
      <c r="D27" s="152" t="s">
        <v>65</v>
      </c>
      <c r="E27" s="123"/>
      <c r="F27" s="160" t="s">
        <v>94</v>
      </c>
      <c r="G27" s="576"/>
      <c r="H27" s="103"/>
      <c r="I27" s="153" t="s">
        <v>136</v>
      </c>
      <c r="J27" s="154">
        <v>2000</v>
      </c>
      <c r="K27" s="103" t="s">
        <v>137</v>
      </c>
      <c r="L27" s="123"/>
      <c r="M27" s="123"/>
      <c r="N27" s="152" t="s">
        <v>65</v>
      </c>
      <c r="O27" s="161">
        <v>1000000</v>
      </c>
      <c r="P27" s="152" t="s">
        <v>74</v>
      </c>
      <c r="Q27" s="147"/>
      <c r="R27" s="103"/>
      <c r="S27" s="153" t="s">
        <v>136</v>
      </c>
      <c r="T27" s="162">
        <v>2000</v>
      </c>
      <c r="U27" s="103" t="s">
        <v>137</v>
      </c>
    </row>
    <row r="28" spans="1:21" ht="14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</row>
    <row r="29" spans="1:21" ht="14.25" customHeight="1" x14ac:dyDescent="0.2">
      <c r="A29" s="141"/>
      <c r="B29" s="156">
        <f>(B26*E26*H26+M26*O26*R26/1000000)/2000</f>
        <v>28.3955340648</v>
      </c>
      <c r="C29" s="156"/>
      <c r="D29" s="103" t="s">
        <v>138</v>
      </c>
      <c r="E29" s="141" t="s">
        <v>92</v>
      </c>
      <c r="F29" s="111">
        <f>B29*(2000/8760)</f>
        <v>6.4829986449315067</v>
      </c>
      <c r="G29" s="103" t="s">
        <v>139</v>
      </c>
      <c r="I29" s="103"/>
      <c r="J29" s="103"/>
      <c r="K29" s="103"/>
      <c r="L29" s="103"/>
      <c r="M29" s="103"/>
      <c r="N29" s="103"/>
      <c r="O29" s="103"/>
      <c r="P29" s="103"/>
    </row>
    <row r="30" spans="1:21" ht="14.25" customHeight="1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</row>
    <row r="31" spans="1:21" ht="14.25" customHeight="1" x14ac:dyDescent="0.2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</row>
    <row r="32" spans="1:21" ht="14.25" customHeight="1" x14ac:dyDescent="0.2">
      <c r="A32" s="141" t="s">
        <v>141</v>
      </c>
      <c r="B32" s="142">
        <f>B16</f>
        <v>11997944</v>
      </c>
      <c r="C32" s="143"/>
      <c r="D32" s="144" t="s">
        <v>280</v>
      </c>
      <c r="E32" s="145">
        <v>0.13800000000000001</v>
      </c>
      <c r="F32" s="146" t="s">
        <v>130</v>
      </c>
      <c r="G32" s="576" t="s">
        <v>131</v>
      </c>
      <c r="H32" s="148">
        <f>C6</f>
        <v>7.1000000000000004E-3</v>
      </c>
      <c r="I32" s="149" t="s">
        <v>132</v>
      </c>
      <c r="J32" s="148">
        <v>1</v>
      </c>
      <c r="K32" s="148" t="s">
        <v>96</v>
      </c>
      <c r="L32" s="150" t="s">
        <v>133</v>
      </c>
      <c r="M32" s="151">
        <f>B17</f>
        <v>0</v>
      </c>
      <c r="N32" s="144" t="s">
        <v>134</v>
      </c>
      <c r="O32" s="143">
        <v>1026</v>
      </c>
      <c r="P32" s="144" t="s">
        <v>135</v>
      </c>
      <c r="Q32" s="147" t="s">
        <v>131</v>
      </c>
      <c r="R32" s="148">
        <f>B6</f>
        <v>8.0999999999999996E-3</v>
      </c>
      <c r="S32" s="149" t="s">
        <v>132</v>
      </c>
      <c r="T32" s="148">
        <v>1</v>
      </c>
      <c r="U32" s="148" t="s">
        <v>96</v>
      </c>
    </row>
    <row r="33" spans="1:21" ht="14.25" customHeight="1" x14ac:dyDescent="0.2">
      <c r="A33" s="123"/>
      <c r="B33" s="147"/>
      <c r="C33" s="123"/>
      <c r="D33" s="152" t="s">
        <v>65</v>
      </c>
      <c r="E33" s="123"/>
      <c r="F33" s="562" t="s">
        <v>94</v>
      </c>
      <c r="G33" s="576"/>
      <c r="H33" s="103"/>
      <c r="I33" s="153" t="s">
        <v>136</v>
      </c>
      <c r="J33" s="154">
        <v>2000</v>
      </c>
      <c r="K33" s="103" t="s">
        <v>137</v>
      </c>
      <c r="L33" s="123"/>
      <c r="M33" s="123"/>
      <c r="N33" s="152" t="s">
        <v>65</v>
      </c>
      <c r="O33" s="161">
        <v>1000000</v>
      </c>
      <c r="P33" s="152" t="s">
        <v>74</v>
      </c>
      <c r="Q33" s="147"/>
      <c r="R33" s="103"/>
      <c r="S33" s="153" t="s">
        <v>136</v>
      </c>
      <c r="T33" s="154">
        <v>2000</v>
      </c>
      <c r="U33" s="103" t="s">
        <v>137</v>
      </c>
    </row>
    <row r="34" spans="1:21" ht="14.25" customHeight="1" x14ac:dyDescent="0.2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</row>
    <row r="35" spans="1:21" ht="14.25" customHeight="1" x14ac:dyDescent="0.2">
      <c r="A35" s="141"/>
      <c r="B35" s="156">
        <f>(B32*E32*H32+M32*O32*R32/1000000)/2000</f>
        <v>5.8777927656000006</v>
      </c>
      <c r="C35" s="156"/>
      <c r="D35" s="103" t="s">
        <v>138</v>
      </c>
      <c r="E35" s="141" t="s">
        <v>92</v>
      </c>
      <c r="F35" s="111">
        <f>B35*(2000/8760)</f>
        <v>1.341961818630137</v>
      </c>
      <c r="G35" s="103" t="s">
        <v>139</v>
      </c>
      <c r="I35" s="103"/>
      <c r="J35" s="103"/>
      <c r="K35" s="103"/>
      <c r="L35" s="103"/>
      <c r="M35" s="103"/>
      <c r="N35" s="103"/>
      <c r="O35" s="103"/>
      <c r="P35" s="103"/>
    </row>
    <row r="36" spans="1:21" ht="12.75" customHeight="1" x14ac:dyDescent="0.2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</row>
    <row r="37" spans="1:21" ht="14.25" customHeight="1" x14ac:dyDescent="0.2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</row>
    <row r="38" spans="1:21" ht="14.25" customHeight="1" x14ac:dyDescent="0.2">
      <c r="A38" s="141" t="s">
        <v>142</v>
      </c>
      <c r="B38" s="142">
        <f>B16</f>
        <v>11997944</v>
      </c>
      <c r="C38" s="143"/>
      <c r="D38" s="144" t="s">
        <v>280</v>
      </c>
      <c r="E38" s="145">
        <v>0.13800000000000001</v>
      </c>
      <c r="F38" s="146" t="s">
        <v>130</v>
      </c>
      <c r="G38" s="576" t="s">
        <v>131</v>
      </c>
      <c r="H38" s="148">
        <f>C7</f>
        <v>1.77E-2</v>
      </c>
      <c r="I38" s="149" t="s">
        <v>132</v>
      </c>
      <c r="J38" s="148">
        <v>1</v>
      </c>
      <c r="K38" s="148" t="s">
        <v>96</v>
      </c>
      <c r="L38" s="150" t="s">
        <v>133</v>
      </c>
      <c r="M38" s="151">
        <f>B17</f>
        <v>0</v>
      </c>
      <c r="N38" s="144" t="s">
        <v>134</v>
      </c>
      <c r="O38" s="143">
        <v>1026</v>
      </c>
      <c r="P38" s="144" t="s">
        <v>135</v>
      </c>
      <c r="Q38" s="147" t="s">
        <v>131</v>
      </c>
      <c r="R38" s="398">
        <f>B7</f>
        <v>0.01</v>
      </c>
      <c r="S38" s="149" t="s">
        <v>132</v>
      </c>
      <c r="T38" s="148">
        <v>1</v>
      </c>
      <c r="U38" s="148" t="s">
        <v>96</v>
      </c>
    </row>
    <row r="39" spans="1:21" ht="14.25" customHeight="1" x14ac:dyDescent="0.2">
      <c r="A39" s="123"/>
      <c r="B39" s="147"/>
      <c r="C39" s="123"/>
      <c r="D39" s="152" t="s">
        <v>65</v>
      </c>
      <c r="E39" s="123"/>
      <c r="F39" s="562" t="s">
        <v>94</v>
      </c>
      <c r="G39" s="576"/>
      <c r="H39" s="103"/>
      <c r="I39" s="153" t="s">
        <v>136</v>
      </c>
      <c r="J39" s="154">
        <v>2000</v>
      </c>
      <c r="K39" s="103" t="s">
        <v>137</v>
      </c>
      <c r="L39" s="123"/>
      <c r="M39" s="123"/>
      <c r="N39" s="152" t="s">
        <v>65</v>
      </c>
      <c r="O39" s="161">
        <v>1000000</v>
      </c>
      <c r="P39" s="152" t="s">
        <v>74</v>
      </c>
      <c r="Q39" s="147"/>
      <c r="R39" s="103"/>
      <c r="S39" s="153" t="s">
        <v>136</v>
      </c>
      <c r="T39" s="154">
        <v>2000</v>
      </c>
      <c r="U39" s="103" t="s">
        <v>137</v>
      </c>
    </row>
    <row r="40" spans="1:21" ht="14.25" customHeight="1" x14ac:dyDescent="0.2">
      <c r="A40" s="103"/>
      <c r="B40" s="103"/>
      <c r="C40" s="103"/>
      <c r="D40" s="103"/>
      <c r="E40" s="103"/>
      <c r="F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</row>
    <row r="41" spans="1:21" ht="14.25" customHeight="1" x14ac:dyDescent="0.2">
      <c r="A41" s="141"/>
      <c r="B41" s="156">
        <f>(B38*E38*H38+M38*O38*R38/1000000)/2000</f>
        <v>14.653089007200002</v>
      </c>
      <c r="C41" s="156"/>
      <c r="D41" s="103" t="s">
        <v>138</v>
      </c>
      <c r="E41" s="141" t="s">
        <v>92</v>
      </c>
      <c r="F41" s="111">
        <f>B41*(2000/8760)</f>
        <v>3.3454541112328768</v>
      </c>
      <c r="G41" s="103" t="s">
        <v>139</v>
      </c>
      <c r="L41" s="103" t="s">
        <v>139</v>
      </c>
      <c r="N41" s="103"/>
      <c r="O41" s="103"/>
      <c r="P41" s="103"/>
      <c r="Q41" s="103"/>
      <c r="R41" s="103"/>
      <c r="S41" s="103"/>
      <c r="T41" s="103"/>
      <c r="U41" s="103"/>
    </row>
    <row r="42" spans="1:21" ht="12" customHeight="1" x14ac:dyDescent="0.2">
      <c r="A42" s="141"/>
      <c r="B42" s="156"/>
      <c r="C42" s="156"/>
      <c r="D42" s="103"/>
      <c r="E42" s="141"/>
      <c r="F42" s="111"/>
      <c r="L42" s="103"/>
      <c r="N42" s="103"/>
      <c r="O42" s="103"/>
      <c r="P42" s="103"/>
      <c r="Q42" s="103"/>
      <c r="R42" s="103"/>
      <c r="S42" s="103"/>
      <c r="T42" s="103"/>
      <c r="U42" s="103"/>
    </row>
    <row r="43" spans="1:21" ht="14.25" customHeight="1" x14ac:dyDescent="0.2">
      <c r="A43" s="141"/>
      <c r="B43" s="156"/>
      <c r="C43" s="156"/>
      <c r="D43" s="103"/>
      <c r="E43" s="141"/>
      <c r="F43" s="111"/>
      <c r="L43" s="103"/>
      <c r="N43" s="103"/>
      <c r="O43" s="103"/>
      <c r="P43" s="103"/>
      <c r="Q43" s="103"/>
      <c r="R43" s="103"/>
      <c r="S43" s="103"/>
      <c r="T43" s="103"/>
      <c r="U43" s="103"/>
    </row>
    <row r="44" spans="1:21" ht="14.25" customHeight="1" x14ac:dyDescent="0.2">
      <c r="A44" s="141" t="s">
        <v>143</v>
      </c>
      <c r="B44" s="142">
        <f>B16</f>
        <v>11997944</v>
      </c>
      <c r="C44" s="143"/>
      <c r="D44" s="144" t="s">
        <v>280</v>
      </c>
      <c r="E44" s="145">
        <v>0.13800000000000001</v>
      </c>
      <c r="F44" s="146" t="s">
        <v>130</v>
      </c>
      <c r="G44" s="576" t="s">
        <v>131</v>
      </c>
      <c r="H44" s="148">
        <f>C8</f>
        <v>1.77E-2</v>
      </c>
      <c r="I44" s="149" t="s">
        <v>132</v>
      </c>
      <c r="J44" s="148">
        <v>1</v>
      </c>
      <c r="K44" s="148" t="s">
        <v>96</v>
      </c>
      <c r="L44" s="150" t="s">
        <v>133</v>
      </c>
      <c r="M44" s="151">
        <f>B17</f>
        <v>0</v>
      </c>
      <c r="N44" s="144" t="s">
        <v>134</v>
      </c>
      <c r="O44" s="143">
        <v>1026</v>
      </c>
      <c r="P44" s="144" t="s">
        <v>135</v>
      </c>
      <c r="Q44" s="147" t="s">
        <v>131</v>
      </c>
      <c r="R44" s="398">
        <f>B8</f>
        <v>0.01</v>
      </c>
      <c r="S44" s="149" t="s">
        <v>132</v>
      </c>
      <c r="T44" s="148">
        <v>1</v>
      </c>
      <c r="U44" s="148" t="s">
        <v>96</v>
      </c>
    </row>
    <row r="45" spans="1:21" ht="14.25" customHeight="1" x14ac:dyDescent="0.2">
      <c r="A45" s="123"/>
      <c r="B45" s="147"/>
      <c r="C45" s="123"/>
      <c r="D45" s="152" t="s">
        <v>65</v>
      </c>
      <c r="E45" s="123"/>
      <c r="F45" s="562" t="s">
        <v>94</v>
      </c>
      <c r="G45" s="576"/>
      <c r="H45" s="103"/>
      <c r="I45" s="153" t="s">
        <v>136</v>
      </c>
      <c r="J45" s="154">
        <v>2000</v>
      </c>
      <c r="K45" s="103" t="s">
        <v>137</v>
      </c>
      <c r="L45" s="123"/>
      <c r="M45" s="123"/>
      <c r="N45" s="152" t="s">
        <v>65</v>
      </c>
      <c r="O45" s="161">
        <v>1000000</v>
      </c>
      <c r="P45" s="152" t="s">
        <v>74</v>
      </c>
      <c r="Q45" s="147"/>
      <c r="R45" s="103"/>
      <c r="S45" s="153" t="s">
        <v>136</v>
      </c>
      <c r="T45" s="154">
        <v>2000</v>
      </c>
      <c r="U45" s="103" t="s">
        <v>137</v>
      </c>
    </row>
    <row r="46" spans="1:21" ht="14.25" customHeight="1" x14ac:dyDescent="0.2">
      <c r="A46" s="103"/>
      <c r="B46" s="103"/>
      <c r="C46" s="103"/>
      <c r="D46" s="103"/>
      <c r="E46" s="103"/>
      <c r="F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</row>
    <row r="47" spans="1:21" ht="14.25" customHeight="1" x14ac:dyDescent="0.2">
      <c r="A47" s="141"/>
      <c r="B47" s="156">
        <f>(B44*E44*H44+M44*O44*R44/1000000)/2000</f>
        <v>14.653089007200002</v>
      </c>
      <c r="C47" s="156"/>
      <c r="D47" s="103" t="s">
        <v>138</v>
      </c>
      <c r="E47" s="141" t="s">
        <v>92</v>
      </c>
      <c r="F47" s="111">
        <f>B47*(2000/8760)</f>
        <v>3.3454541112328768</v>
      </c>
      <c r="G47" s="103" t="s">
        <v>139</v>
      </c>
      <c r="L47" s="103" t="s">
        <v>139</v>
      </c>
      <c r="N47" s="103"/>
      <c r="O47" s="103"/>
      <c r="P47" s="103"/>
      <c r="Q47" s="103"/>
      <c r="R47" s="103"/>
      <c r="S47" s="103"/>
      <c r="T47" s="103"/>
      <c r="U47" s="103"/>
    </row>
    <row r="48" spans="1:21" ht="12" customHeight="1" x14ac:dyDescent="0.2">
      <c r="A48" s="103"/>
      <c r="B48" s="103"/>
      <c r="C48" s="103"/>
      <c r="D48" s="103"/>
      <c r="E48" s="103"/>
      <c r="F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</row>
    <row r="49" spans="1:21" ht="14.25" customHeight="1" x14ac:dyDescent="0.2">
      <c r="A49" s="103"/>
      <c r="B49" s="103"/>
      <c r="C49" s="103"/>
      <c r="D49" s="103"/>
      <c r="E49" s="103"/>
      <c r="F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</row>
    <row r="50" spans="1:21" ht="14.25" customHeight="1" x14ac:dyDescent="0.2">
      <c r="A50" s="141" t="s">
        <v>144</v>
      </c>
      <c r="B50" s="142">
        <f>B16</f>
        <v>11997944</v>
      </c>
      <c r="C50" s="143"/>
      <c r="D50" s="144" t="s">
        <v>280</v>
      </c>
      <c r="E50" s="145">
        <v>0.13800000000000001</v>
      </c>
      <c r="F50" s="146" t="s">
        <v>130</v>
      </c>
      <c r="G50" s="576" t="s">
        <v>131</v>
      </c>
      <c r="H50" s="148">
        <f>C9</f>
        <v>1.77E-2</v>
      </c>
      <c r="I50" s="149" t="s">
        <v>132</v>
      </c>
      <c r="J50" s="148">
        <v>1</v>
      </c>
      <c r="K50" s="148" t="s">
        <v>96</v>
      </c>
      <c r="L50" s="150" t="s">
        <v>133</v>
      </c>
      <c r="M50" s="151">
        <f>B17</f>
        <v>0</v>
      </c>
      <c r="N50" s="144" t="s">
        <v>134</v>
      </c>
      <c r="O50" s="143">
        <v>1026</v>
      </c>
      <c r="P50" s="144" t="s">
        <v>135</v>
      </c>
      <c r="Q50" s="147" t="s">
        <v>131</v>
      </c>
      <c r="R50" s="398">
        <f>B9</f>
        <v>0.01</v>
      </c>
      <c r="S50" s="149" t="s">
        <v>132</v>
      </c>
      <c r="T50" s="148">
        <v>1</v>
      </c>
      <c r="U50" s="148" t="s">
        <v>96</v>
      </c>
    </row>
    <row r="51" spans="1:21" ht="14.25" customHeight="1" x14ac:dyDescent="0.2">
      <c r="A51" s="123"/>
      <c r="B51" s="147"/>
      <c r="C51" s="123"/>
      <c r="D51" s="152" t="s">
        <v>65</v>
      </c>
      <c r="E51" s="123"/>
      <c r="F51" s="562" t="s">
        <v>94</v>
      </c>
      <c r="G51" s="576"/>
      <c r="H51" s="103"/>
      <c r="I51" s="153" t="s">
        <v>136</v>
      </c>
      <c r="J51" s="154">
        <v>2000</v>
      </c>
      <c r="K51" s="103" t="s">
        <v>137</v>
      </c>
      <c r="L51" s="123"/>
      <c r="M51" s="123"/>
      <c r="N51" s="152" t="s">
        <v>65</v>
      </c>
      <c r="O51" s="161">
        <v>1000000</v>
      </c>
      <c r="P51" s="152" t="s">
        <v>74</v>
      </c>
      <c r="Q51" s="147"/>
      <c r="R51" s="103"/>
      <c r="S51" s="153" t="s">
        <v>136</v>
      </c>
      <c r="T51" s="154">
        <v>2000</v>
      </c>
      <c r="U51" s="103" t="s">
        <v>137</v>
      </c>
    </row>
    <row r="52" spans="1:21" ht="14.25" customHeight="1" x14ac:dyDescent="0.2">
      <c r="A52" s="103"/>
      <c r="B52" s="103"/>
      <c r="C52" s="103"/>
      <c r="D52" s="103"/>
      <c r="E52" s="103"/>
      <c r="F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</row>
    <row r="53" spans="1:21" ht="14.25" customHeight="1" x14ac:dyDescent="0.2">
      <c r="A53" s="141"/>
      <c r="B53" s="156">
        <f>(B50*E50*H50+M50*O50*R50/1000000)/2000</f>
        <v>14.653089007200002</v>
      </c>
      <c r="C53" s="156"/>
      <c r="D53" s="103" t="s">
        <v>138</v>
      </c>
      <c r="E53" s="141" t="s">
        <v>92</v>
      </c>
      <c r="F53" s="111">
        <f>B53*(2000/8760)</f>
        <v>3.3454541112328768</v>
      </c>
      <c r="G53" s="103" t="s">
        <v>139</v>
      </c>
      <c r="L53" s="103" t="s">
        <v>139</v>
      </c>
      <c r="N53" s="103"/>
      <c r="O53" s="103"/>
      <c r="P53" s="103"/>
      <c r="Q53" s="103"/>
      <c r="R53" s="103"/>
      <c r="S53" s="103"/>
      <c r="T53" s="103"/>
      <c r="U53" s="103"/>
    </row>
    <row r="54" spans="1:21" ht="14.25" customHeight="1" x14ac:dyDescent="0.2">
      <c r="A54" s="103"/>
      <c r="B54" s="103"/>
      <c r="C54" s="103"/>
      <c r="D54" s="103"/>
      <c r="E54" s="103"/>
      <c r="F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</row>
    <row r="55" spans="1:21" ht="14.25" customHeight="1" x14ac:dyDescent="0.2">
      <c r="A55" s="103"/>
      <c r="B55" s="103"/>
      <c r="C55" s="103"/>
      <c r="D55" s="103"/>
      <c r="E55" s="103"/>
      <c r="F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</row>
    <row r="56" spans="1:21" ht="14.25" customHeight="1" x14ac:dyDescent="0.2">
      <c r="A56" s="141" t="s">
        <v>145</v>
      </c>
      <c r="B56" s="142">
        <f>B16</f>
        <v>11997944</v>
      </c>
      <c r="C56" s="143"/>
      <c r="D56" s="144" t="s">
        <v>280</v>
      </c>
      <c r="E56" s="145">
        <v>0.13800000000000001</v>
      </c>
      <c r="F56" s="146" t="s">
        <v>130</v>
      </c>
      <c r="G56" s="576" t="s">
        <v>131</v>
      </c>
      <c r="H56" s="148">
        <f>C10</f>
        <v>1.5E-3</v>
      </c>
      <c r="I56" s="149" t="s">
        <v>132</v>
      </c>
      <c r="J56" s="148">
        <v>1</v>
      </c>
      <c r="K56" s="148" t="s">
        <v>96</v>
      </c>
      <c r="L56" s="150" t="s">
        <v>133</v>
      </c>
      <c r="M56" s="151">
        <f>B17</f>
        <v>0</v>
      </c>
      <c r="N56" s="144" t="s">
        <v>134</v>
      </c>
      <c r="O56" s="143">
        <v>1026</v>
      </c>
      <c r="P56" s="144" t="s">
        <v>135</v>
      </c>
      <c r="Q56" s="147" t="s">
        <v>131</v>
      </c>
      <c r="R56" s="398">
        <f>B10</f>
        <v>2.7847396268448903E-3</v>
      </c>
      <c r="S56" s="149" t="s">
        <v>132</v>
      </c>
      <c r="T56" s="148">
        <v>1</v>
      </c>
      <c r="U56" s="148" t="s">
        <v>96</v>
      </c>
    </row>
    <row r="57" spans="1:21" ht="14.25" customHeight="1" x14ac:dyDescent="0.2">
      <c r="A57" s="123"/>
      <c r="B57" s="147"/>
      <c r="C57" s="123"/>
      <c r="D57" s="152" t="s">
        <v>65</v>
      </c>
      <c r="E57" s="123"/>
      <c r="F57" s="562" t="s">
        <v>94</v>
      </c>
      <c r="G57" s="576"/>
      <c r="H57" s="103"/>
      <c r="I57" s="153" t="s">
        <v>136</v>
      </c>
      <c r="J57" s="154">
        <v>2000</v>
      </c>
      <c r="K57" s="103" t="s">
        <v>137</v>
      </c>
      <c r="L57" s="123"/>
      <c r="M57" s="123"/>
      <c r="N57" s="152" t="s">
        <v>65</v>
      </c>
      <c r="O57" s="161">
        <v>1000000</v>
      </c>
      <c r="P57" s="152" t="s">
        <v>74</v>
      </c>
      <c r="Q57" s="147"/>
      <c r="R57" s="103"/>
      <c r="S57" s="153" t="s">
        <v>136</v>
      </c>
      <c r="T57" s="154">
        <v>2000</v>
      </c>
      <c r="U57" s="103" t="s">
        <v>137</v>
      </c>
    </row>
    <row r="58" spans="1:21" ht="14.25" customHeight="1" x14ac:dyDescent="0.2">
      <c r="A58" s="103"/>
      <c r="B58" s="103"/>
      <c r="C58" s="103"/>
      <c r="D58" s="103"/>
      <c r="E58" s="103"/>
      <c r="F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</row>
    <row r="59" spans="1:21" ht="14.25" customHeight="1" x14ac:dyDescent="0.2">
      <c r="A59" s="141"/>
      <c r="B59" s="156">
        <f>(B56*E56*H56+M56*O56*R56/1000000)/2000</f>
        <v>1.2417872040000002</v>
      </c>
      <c r="C59" s="156"/>
      <c r="D59" s="103" t="s">
        <v>138</v>
      </c>
      <c r="E59" s="141" t="s">
        <v>92</v>
      </c>
      <c r="F59" s="111">
        <f>B59*(2000/8760)</f>
        <v>0.28351306027397261</v>
      </c>
      <c r="G59" s="103" t="s">
        <v>139</v>
      </c>
      <c r="L59" s="103" t="s">
        <v>139</v>
      </c>
      <c r="N59" s="103"/>
      <c r="O59" s="103"/>
      <c r="P59" s="103"/>
      <c r="Q59" s="103"/>
      <c r="R59" s="103"/>
      <c r="S59" s="103"/>
      <c r="T59" s="103"/>
      <c r="U59" s="103"/>
    </row>
    <row r="60" spans="1:21" ht="14.25" customHeight="1" x14ac:dyDescent="0.2">
      <c r="A60" s="103"/>
      <c r="B60" s="103"/>
      <c r="C60" s="103"/>
      <c r="D60" s="103"/>
      <c r="E60" s="103"/>
      <c r="F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</row>
    <row r="61" spans="1:21" ht="14.25" customHeight="1" x14ac:dyDescent="0.2">
      <c r="A61" s="103"/>
      <c r="B61" s="103"/>
      <c r="C61" s="103"/>
      <c r="D61" s="103"/>
      <c r="E61" s="103"/>
      <c r="F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</row>
    <row r="62" spans="1:21" ht="14.25" customHeight="1" x14ac:dyDescent="0.2">
      <c r="A62" s="141" t="s">
        <v>147</v>
      </c>
      <c r="B62" s="142">
        <f>B16</f>
        <v>11997944</v>
      </c>
      <c r="C62" s="143"/>
      <c r="D62" s="144" t="s">
        <v>280</v>
      </c>
      <c r="E62" s="145">
        <v>0.13800000000000001</v>
      </c>
      <c r="F62" s="146" t="s">
        <v>130</v>
      </c>
      <c r="G62" s="576" t="s">
        <v>131</v>
      </c>
      <c r="H62" s="399">
        <f>C11</f>
        <v>2.2968750000000002E-4</v>
      </c>
      <c r="I62" s="149" t="s">
        <v>132</v>
      </c>
      <c r="J62" s="148">
        <v>1</v>
      </c>
      <c r="K62" s="148" t="s">
        <v>96</v>
      </c>
      <c r="L62" s="150" t="s">
        <v>133</v>
      </c>
      <c r="M62" s="151">
        <f>B17</f>
        <v>0</v>
      </c>
      <c r="N62" s="144" t="s">
        <v>134</v>
      </c>
      <c r="O62" s="143">
        <v>1026</v>
      </c>
      <c r="P62" s="144" t="s">
        <v>135</v>
      </c>
      <c r="Q62" s="147" t="s">
        <v>131</v>
      </c>
      <c r="R62" s="399">
        <f>B11</f>
        <v>4.2641325536062387E-4</v>
      </c>
      <c r="S62" s="149" t="s">
        <v>132</v>
      </c>
      <c r="T62" s="148">
        <v>1</v>
      </c>
      <c r="U62" s="148" t="s">
        <v>96</v>
      </c>
    </row>
    <row r="63" spans="1:21" ht="14.25" customHeight="1" x14ac:dyDescent="0.2">
      <c r="A63" s="123"/>
      <c r="B63" s="147"/>
      <c r="C63" s="123"/>
      <c r="D63" s="152" t="s">
        <v>65</v>
      </c>
      <c r="E63" s="123"/>
      <c r="F63" s="562" t="s">
        <v>94</v>
      </c>
      <c r="G63" s="576"/>
      <c r="H63" s="103"/>
      <c r="I63" s="153" t="s">
        <v>136</v>
      </c>
      <c r="J63" s="154">
        <v>2000</v>
      </c>
      <c r="K63" s="103" t="s">
        <v>137</v>
      </c>
      <c r="L63" s="123"/>
      <c r="M63" s="123"/>
      <c r="N63" s="152" t="s">
        <v>65</v>
      </c>
      <c r="O63" s="161">
        <v>1000000</v>
      </c>
      <c r="P63" s="152" t="s">
        <v>74</v>
      </c>
      <c r="Q63" s="147"/>
      <c r="R63" s="103"/>
      <c r="S63" s="153" t="s">
        <v>136</v>
      </c>
      <c r="T63" s="154">
        <v>2000</v>
      </c>
      <c r="U63" s="103" t="s">
        <v>137</v>
      </c>
    </row>
    <row r="64" spans="1:21" ht="14.25" customHeight="1" x14ac:dyDescent="0.2">
      <c r="A64" s="103"/>
      <c r="B64" s="103"/>
      <c r="C64" s="103"/>
      <c r="D64" s="103"/>
      <c r="E64" s="103"/>
      <c r="F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</row>
    <row r="65" spans="1:21" ht="14.25" customHeight="1" x14ac:dyDescent="0.2">
      <c r="A65" s="141"/>
      <c r="B65" s="156">
        <f>(B62*E62*H62+M62*O62*R62/1000000)/2000</f>
        <v>0.19014866561250002</v>
      </c>
      <c r="C65" s="156"/>
      <c r="D65" s="103" t="s">
        <v>138</v>
      </c>
      <c r="E65" s="141" t="s">
        <v>92</v>
      </c>
      <c r="F65" s="111">
        <f>B65*(2000/8760)</f>
        <v>4.3412937354452057E-2</v>
      </c>
      <c r="G65" s="103" t="s">
        <v>139</v>
      </c>
      <c r="L65" s="103" t="s">
        <v>139</v>
      </c>
      <c r="N65" s="103"/>
      <c r="O65" s="103"/>
      <c r="P65" s="103"/>
      <c r="Q65" s="103"/>
      <c r="R65" s="103"/>
      <c r="S65" s="103"/>
      <c r="T65" s="103"/>
      <c r="U65" s="103"/>
    </row>
    <row r="66" spans="1:21" ht="14.25" customHeight="1" x14ac:dyDescent="0.2">
      <c r="A66" s="103"/>
      <c r="B66" s="103"/>
      <c r="C66" s="103"/>
      <c r="D66" s="103"/>
      <c r="E66" s="103"/>
      <c r="F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</row>
    <row r="67" spans="1:21" ht="14.25" customHeight="1" x14ac:dyDescent="0.2">
      <c r="A67" s="103"/>
      <c r="B67" s="103"/>
      <c r="C67" s="103"/>
      <c r="D67" s="103"/>
      <c r="E67" s="103"/>
      <c r="F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</row>
    <row r="68" spans="1:21" ht="14.25" customHeight="1" x14ac:dyDescent="0.2">
      <c r="A68" s="141" t="s">
        <v>148</v>
      </c>
      <c r="B68" s="142">
        <f>B16</f>
        <v>11997944</v>
      </c>
      <c r="C68" s="143"/>
      <c r="D68" s="144" t="s">
        <v>280</v>
      </c>
      <c r="E68" s="145">
        <v>0.13800000000000001</v>
      </c>
      <c r="F68" s="146" t="s">
        <v>130</v>
      </c>
      <c r="G68" s="576" t="s">
        <v>131</v>
      </c>
      <c r="H68" s="163">
        <f>C12</f>
        <v>1.4E-5</v>
      </c>
      <c r="I68" s="149" t="s">
        <v>132</v>
      </c>
      <c r="J68" s="148">
        <v>1</v>
      </c>
      <c r="K68" s="148" t="s">
        <v>96</v>
      </c>
      <c r="L68" s="150" t="s">
        <v>133</v>
      </c>
      <c r="M68" s="151">
        <f>B17</f>
        <v>0</v>
      </c>
      <c r="N68" s="144" t="s">
        <v>134</v>
      </c>
      <c r="O68" s="143">
        <v>1026</v>
      </c>
      <c r="P68" s="144" t="s">
        <v>135</v>
      </c>
      <c r="Q68" s="147" t="s">
        <v>131</v>
      </c>
      <c r="R68" s="148">
        <f>B12</f>
        <v>0</v>
      </c>
      <c r="S68" s="149" t="s">
        <v>132</v>
      </c>
      <c r="T68" s="148">
        <v>1</v>
      </c>
      <c r="U68" s="148" t="s">
        <v>96</v>
      </c>
    </row>
    <row r="69" spans="1:21" ht="14.25" customHeight="1" x14ac:dyDescent="0.2">
      <c r="A69" s="123"/>
      <c r="B69" s="147"/>
      <c r="C69" s="123"/>
      <c r="D69" s="152" t="s">
        <v>65</v>
      </c>
      <c r="E69" s="123"/>
      <c r="F69" s="562" t="s">
        <v>94</v>
      </c>
      <c r="G69" s="576"/>
      <c r="H69" s="103"/>
      <c r="I69" s="153" t="s">
        <v>136</v>
      </c>
      <c r="J69" s="154">
        <v>2000</v>
      </c>
      <c r="K69" s="103" t="s">
        <v>137</v>
      </c>
      <c r="L69" s="123"/>
      <c r="M69" s="123"/>
      <c r="N69" s="152" t="s">
        <v>65</v>
      </c>
      <c r="O69" s="161">
        <v>1000000</v>
      </c>
      <c r="P69" s="152" t="s">
        <v>74</v>
      </c>
      <c r="Q69" s="147"/>
      <c r="R69" s="103"/>
      <c r="S69" s="153" t="s">
        <v>136</v>
      </c>
      <c r="T69" s="154">
        <v>2000</v>
      </c>
      <c r="U69" s="103" t="s">
        <v>137</v>
      </c>
    </row>
    <row r="70" spans="1:21" ht="14.25" customHeight="1" x14ac:dyDescent="0.2">
      <c r="A70" s="10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</row>
    <row r="71" spans="1:21" ht="14.25" customHeight="1" x14ac:dyDescent="0.2">
      <c r="A71" s="141"/>
      <c r="B71" s="156">
        <f>(B68*E68*H68+M68*O68*R68/1000000)/2000</f>
        <v>1.1590013904000001E-2</v>
      </c>
      <c r="C71" s="156"/>
      <c r="D71" s="103" t="s">
        <v>138</v>
      </c>
      <c r="E71" s="141" t="s">
        <v>92</v>
      </c>
      <c r="F71" s="111">
        <f>B71*(2000/8760)</f>
        <v>2.6461218958904113E-3</v>
      </c>
      <c r="G71" s="103" t="s">
        <v>139</v>
      </c>
      <c r="I71" s="103"/>
      <c r="J71" s="103"/>
      <c r="K71" s="103"/>
      <c r="L71" s="103"/>
      <c r="M71" s="103"/>
      <c r="N71" s="103"/>
      <c r="O71" s="103"/>
      <c r="P71" s="103"/>
    </row>
    <row r="74" spans="1:21" ht="14.25" customHeight="1" x14ac:dyDescent="0.2">
      <c r="A74" s="141" t="s">
        <v>149</v>
      </c>
      <c r="B74" s="142">
        <f>B16</f>
        <v>11997944</v>
      </c>
      <c r="C74" s="143"/>
      <c r="D74" s="144" t="s">
        <v>280</v>
      </c>
      <c r="E74" s="145">
        <v>0.13800000000000001</v>
      </c>
      <c r="F74" s="146" t="s">
        <v>130</v>
      </c>
      <c r="G74" s="576" t="s">
        <v>131</v>
      </c>
      <c r="H74" s="400">
        <f>C13</f>
        <v>163.61000000000001</v>
      </c>
      <c r="I74" s="149" t="s">
        <v>132</v>
      </c>
      <c r="J74" s="148">
        <v>1</v>
      </c>
      <c r="K74" s="148" t="s">
        <v>96</v>
      </c>
      <c r="L74" s="150" t="s">
        <v>133</v>
      </c>
      <c r="M74" s="151">
        <f>B17</f>
        <v>0</v>
      </c>
      <c r="N74" s="144" t="s">
        <v>134</v>
      </c>
      <c r="O74" s="143">
        <v>1026</v>
      </c>
      <c r="P74" s="144" t="s">
        <v>135</v>
      </c>
      <c r="Q74" s="147" t="s">
        <v>131</v>
      </c>
      <c r="R74" s="400">
        <f>B13</f>
        <v>117.09688808000001</v>
      </c>
      <c r="S74" s="149" t="s">
        <v>132</v>
      </c>
      <c r="T74" s="148">
        <v>1</v>
      </c>
      <c r="U74" s="148" t="s">
        <v>96</v>
      </c>
    </row>
    <row r="75" spans="1:21" ht="14.25" customHeight="1" x14ac:dyDescent="0.2">
      <c r="A75" s="123"/>
      <c r="B75" s="147"/>
      <c r="C75" s="123"/>
      <c r="D75" s="152" t="s">
        <v>65</v>
      </c>
      <c r="E75" s="123"/>
      <c r="F75" s="562" t="s">
        <v>94</v>
      </c>
      <c r="G75" s="576"/>
      <c r="H75" s="103"/>
      <c r="I75" s="153" t="s">
        <v>136</v>
      </c>
      <c r="J75" s="154">
        <v>2000</v>
      </c>
      <c r="K75" s="103" t="s">
        <v>137</v>
      </c>
      <c r="L75" s="123"/>
      <c r="M75" s="123"/>
      <c r="N75" s="152" t="s">
        <v>65</v>
      </c>
      <c r="O75" s="161">
        <v>1000000</v>
      </c>
      <c r="P75" s="152" t="s">
        <v>74</v>
      </c>
      <c r="Q75" s="147"/>
      <c r="R75" s="103"/>
      <c r="S75" s="153" t="s">
        <v>136</v>
      </c>
      <c r="T75" s="154">
        <v>2000</v>
      </c>
      <c r="U75" s="103" t="s">
        <v>137</v>
      </c>
    </row>
    <row r="76" spans="1:21" ht="14.25" customHeight="1" x14ac:dyDescent="0.2">
      <c r="A76" s="103"/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</row>
    <row r="77" spans="1:21" ht="14.25" customHeight="1" x14ac:dyDescent="0.2">
      <c r="A77" s="141"/>
      <c r="B77" s="156">
        <f>(B74*E74*H74+M74*O74*R74/1000000)/2000</f>
        <v>135445.86963096002</v>
      </c>
      <c r="C77" s="156"/>
      <c r="D77" s="103" t="s">
        <v>138</v>
      </c>
      <c r="E77" s="141" t="s">
        <v>92</v>
      </c>
      <c r="F77" s="111">
        <f>B77*(2000/8760)</f>
        <v>30923.714527616441</v>
      </c>
      <c r="G77" s="103" t="s">
        <v>139</v>
      </c>
      <c r="I77" s="103"/>
      <c r="J77" s="103"/>
      <c r="K77" s="103"/>
      <c r="L77" s="103"/>
      <c r="M77" s="103"/>
      <c r="N77" s="103"/>
      <c r="O77" s="103"/>
      <c r="P77" s="103"/>
    </row>
    <row r="78" spans="1:21" ht="14.25" customHeight="1" x14ac:dyDescent="0.2">
      <c r="A78" s="103"/>
    </row>
    <row r="79" spans="1:21" ht="14.25" customHeight="1" x14ac:dyDescent="0.2">
      <c r="A79" s="103"/>
      <c r="B79" s="103"/>
      <c r="C79" s="103"/>
      <c r="D79" s="103"/>
      <c r="E79" s="103"/>
      <c r="F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</row>
    <row r="80" spans="1:21" ht="14.25" customHeight="1" x14ac:dyDescent="0.2">
      <c r="A80" s="84"/>
      <c r="B80" s="79" t="s">
        <v>150</v>
      </c>
      <c r="C80" s="79"/>
      <c r="D80" s="79"/>
      <c r="E80" s="79"/>
      <c r="F80" s="79"/>
      <c r="G80" s="79"/>
      <c r="H80" s="79"/>
      <c r="I80" s="79"/>
      <c r="J80" s="79"/>
      <c r="K80" s="84"/>
      <c r="L80" s="84"/>
      <c r="M80" s="84"/>
      <c r="N80" s="84"/>
      <c r="O80" s="84"/>
      <c r="P80" s="84"/>
    </row>
    <row r="81" spans="2:10" ht="14.25" customHeight="1" x14ac:dyDescent="0.2">
      <c r="B81" s="79" t="s">
        <v>151</v>
      </c>
      <c r="C81" s="79"/>
      <c r="D81" s="79"/>
      <c r="E81" s="79"/>
      <c r="F81" s="79"/>
      <c r="G81" s="79"/>
      <c r="H81" s="79"/>
      <c r="I81" s="79"/>
      <c r="J81" s="79"/>
    </row>
    <row r="82" spans="2:10" ht="14.25" customHeight="1" x14ac:dyDescent="0.2">
      <c r="B82" s="79" t="s">
        <v>281</v>
      </c>
      <c r="C82" s="79"/>
      <c r="D82" s="79"/>
      <c r="E82" s="79"/>
      <c r="F82" s="79"/>
      <c r="G82" s="79"/>
      <c r="H82" s="79"/>
      <c r="I82" s="79"/>
      <c r="J82" s="79"/>
    </row>
    <row r="83" spans="2:10" ht="14.25" customHeight="1" x14ac:dyDescent="0.2">
      <c r="B83" s="79" t="s">
        <v>153</v>
      </c>
      <c r="C83" s="79"/>
      <c r="D83" s="84"/>
      <c r="E83" s="84"/>
      <c r="F83" s="84"/>
      <c r="G83" s="84"/>
      <c r="H83" s="84"/>
      <c r="I83" s="84"/>
      <c r="J83" s="84"/>
    </row>
  </sheetData>
  <mergeCells count="13">
    <mergeCell ref="G62:G63"/>
    <mergeCell ref="G68:G69"/>
    <mergeCell ref="G74:G75"/>
    <mergeCell ref="G32:G33"/>
    <mergeCell ref="G38:G39"/>
    <mergeCell ref="G44:G45"/>
    <mergeCell ref="G50:G51"/>
    <mergeCell ref="G56:G57"/>
    <mergeCell ref="A1:P1"/>
    <mergeCell ref="F6:N6"/>
    <mergeCell ref="G20:G21"/>
    <mergeCell ref="Q20:Q21"/>
    <mergeCell ref="G26:G27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AF37"/>
  <sheetViews>
    <sheetView zoomScaleNormal="100" workbookViewId="0">
      <selection activeCell="L24" sqref="L24"/>
    </sheetView>
  </sheetViews>
  <sheetFormatPr defaultColWidth="8.85546875" defaultRowHeight="15" x14ac:dyDescent="0.25"/>
  <cols>
    <col min="1" max="1" width="10.7109375" style="401" customWidth="1"/>
    <col min="2" max="2" width="15.140625" style="401" customWidth="1"/>
    <col min="3" max="3" width="14.7109375" style="401" customWidth="1"/>
    <col min="4" max="4" width="14.5703125" style="401" customWidth="1"/>
    <col min="5" max="5" width="15" style="401" customWidth="1"/>
    <col min="6" max="6" width="13.5703125" style="401" customWidth="1"/>
    <col min="7" max="7" width="13.28515625" style="401" customWidth="1"/>
    <col min="8" max="8" width="13.7109375" style="401" customWidth="1"/>
    <col min="9" max="9" width="15" style="401" customWidth="1"/>
    <col min="10" max="10" width="14.140625" style="401" customWidth="1"/>
    <col min="11" max="11" width="12.85546875" style="401" customWidth="1"/>
    <col min="12" max="12" width="8.85546875" style="401"/>
    <col min="13" max="14" width="12.85546875" style="401" customWidth="1"/>
    <col min="15" max="15" width="14.7109375" style="401" customWidth="1"/>
    <col min="16" max="19" width="8.85546875" style="401"/>
    <col min="20" max="20" width="12.28515625" style="401" customWidth="1"/>
    <col min="21" max="21" width="19" style="401" customWidth="1"/>
    <col min="22" max="22" width="14.42578125" style="401" customWidth="1"/>
    <col min="23" max="16384" width="8.85546875" style="401"/>
  </cols>
  <sheetData>
    <row r="3" spans="1:32" ht="14.25" customHeight="1" x14ac:dyDescent="0.25">
      <c r="A3" s="592" t="s">
        <v>282</v>
      </c>
      <c r="B3" s="592"/>
      <c r="C3" s="592"/>
      <c r="E3" s="592" t="s">
        <v>283</v>
      </c>
      <c r="F3" s="592"/>
      <c r="G3" s="592"/>
      <c r="I3" s="592" t="s">
        <v>284</v>
      </c>
      <c r="J3" s="592"/>
      <c r="K3" s="592"/>
      <c r="M3" s="592" t="s">
        <v>285</v>
      </c>
      <c r="N3" s="592"/>
      <c r="O3" s="592"/>
    </row>
    <row r="4" spans="1:32" ht="14.25" customHeight="1" x14ac:dyDescent="0.25">
      <c r="A4" s="592" t="s">
        <v>64</v>
      </c>
      <c r="B4" s="592"/>
      <c r="C4" s="592"/>
      <c r="E4" s="592" t="s">
        <v>64</v>
      </c>
      <c r="F4" s="592"/>
      <c r="G4" s="592"/>
      <c r="I4" s="592" t="s">
        <v>64</v>
      </c>
      <c r="J4" s="592"/>
      <c r="K4" s="592"/>
      <c r="M4" s="592" t="s">
        <v>64</v>
      </c>
      <c r="N4" s="592"/>
      <c r="O4" s="592"/>
      <c r="T4" s="402" t="s">
        <v>286</v>
      </c>
    </row>
    <row r="5" spans="1:32" ht="14.25" customHeight="1" x14ac:dyDescent="0.25">
      <c r="A5" s="403" t="s">
        <v>65</v>
      </c>
      <c r="B5" s="559" t="s">
        <v>287</v>
      </c>
      <c r="C5" s="559" t="s">
        <v>288</v>
      </c>
      <c r="E5" s="403" t="s">
        <v>65</v>
      </c>
      <c r="F5" s="559" t="s">
        <v>289</v>
      </c>
      <c r="G5" s="559" t="s">
        <v>290</v>
      </c>
      <c r="I5" s="559" t="s">
        <v>291</v>
      </c>
      <c r="J5" s="559" t="s">
        <v>292</v>
      </c>
      <c r="K5" s="559" t="s">
        <v>293</v>
      </c>
      <c r="M5" s="559" t="s">
        <v>65</v>
      </c>
      <c r="N5" s="404" t="s">
        <v>294</v>
      </c>
      <c r="O5" s="404" t="s">
        <v>295</v>
      </c>
      <c r="T5" s="405"/>
      <c r="U5" s="406" t="s">
        <v>296</v>
      </c>
      <c r="V5" s="406" t="s">
        <v>297</v>
      </c>
      <c r="W5" s="560" t="s">
        <v>294</v>
      </c>
      <c r="X5" s="560" t="s">
        <v>295</v>
      </c>
      <c r="Y5" s="407" t="s">
        <v>298</v>
      </c>
      <c r="Z5" s="407" t="s">
        <v>299</v>
      </c>
      <c r="AA5" s="407" t="s">
        <v>300</v>
      </c>
      <c r="AB5" s="407" t="s">
        <v>301</v>
      </c>
      <c r="AC5" s="406" t="s">
        <v>287</v>
      </c>
      <c r="AD5" s="406" t="s">
        <v>288</v>
      </c>
      <c r="AE5" s="560" t="s">
        <v>292</v>
      </c>
      <c r="AF5" s="560" t="s">
        <v>293</v>
      </c>
    </row>
    <row r="6" spans="1:32" ht="14.25" customHeight="1" x14ac:dyDescent="0.25">
      <c r="A6" s="408">
        <v>45658</v>
      </c>
      <c r="B6" s="216">
        <v>0</v>
      </c>
      <c r="C6" s="324">
        <v>0</v>
      </c>
      <c r="E6" s="408">
        <v>45658</v>
      </c>
      <c r="F6" s="216">
        <v>6122.71</v>
      </c>
      <c r="G6" s="409">
        <v>2577.98</v>
      </c>
      <c r="I6" s="408">
        <v>45658</v>
      </c>
      <c r="J6" s="410">
        <v>0</v>
      </c>
      <c r="K6" s="411">
        <v>4261.5</v>
      </c>
      <c r="M6" s="408">
        <v>45658</v>
      </c>
      <c r="N6" s="217">
        <v>0</v>
      </c>
      <c r="O6" s="324">
        <v>4677.1499999999996</v>
      </c>
      <c r="T6" s="408">
        <v>45658</v>
      </c>
      <c r="U6" s="412">
        <v>0.01</v>
      </c>
      <c r="V6" s="412">
        <v>0.01</v>
      </c>
      <c r="W6" s="412">
        <v>0.01</v>
      </c>
      <c r="X6" s="412">
        <v>0.01</v>
      </c>
      <c r="Y6" s="412">
        <v>0.01</v>
      </c>
      <c r="Z6" s="412">
        <v>0.01</v>
      </c>
      <c r="AA6" s="412">
        <v>0.01</v>
      </c>
      <c r="AB6" s="412">
        <v>0.01</v>
      </c>
      <c r="AC6" s="412">
        <v>0.01</v>
      </c>
      <c r="AD6" s="412">
        <v>0.01</v>
      </c>
      <c r="AE6" s="412">
        <v>0.01</v>
      </c>
      <c r="AF6" s="412">
        <v>0.01</v>
      </c>
    </row>
    <row r="7" spans="1:32" ht="14.25" customHeight="1" x14ac:dyDescent="0.25">
      <c r="A7" s="413">
        <v>45689</v>
      </c>
      <c r="B7" s="222">
        <v>0</v>
      </c>
      <c r="C7" s="325">
        <v>0</v>
      </c>
      <c r="E7" s="413">
        <v>45689</v>
      </c>
      <c r="F7" s="222">
        <v>4524.43</v>
      </c>
      <c r="G7" s="414">
        <v>3960.64</v>
      </c>
      <c r="I7" s="413">
        <v>45689</v>
      </c>
      <c r="J7" s="222">
        <v>0</v>
      </c>
      <c r="K7" s="325">
        <v>3000.79</v>
      </c>
      <c r="M7" s="413">
        <v>45689</v>
      </c>
      <c r="N7" s="228">
        <v>0</v>
      </c>
      <c r="O7" s="325">
        <v>3366.92</v>
      </c>
      <c r="T7" s="413">
        <v>45689</v>
      </c>
      <c r="U7" s="412">
        <v>0.01</v>
      </c>
      <c r="V7" s="412">
        <v>0.01</v>
      </c>
      <c r="W7" s="412">
        <v>0.01</v>
      </c>
      <c r="X7" s="412">
        <v>0.01</v>
      </c>
      <c r="Y7" s="412">
        <v>0.01</v>
      </c>
      <c r="Z7" s="412">
        <v>0.01</v>
      </c>
      <c r="AA7" s="412">
        <v>0.01</v>
      </c>
      <c r="AB7" s="412">
        <v>0.01</v>
      </c>
      <c r="AC7" s="412">
        <v>0.01</v>
      </c>
      <c r="AD7" s="412">
        <v>0.01</v>
      </c>
      <c r="AE7" s="412">
        <v>0.01</v>
      </c>
      <c r="AF7" s="412">
        <v>0.01</v>
      </c>
    </row>
    <row r="8" spans="1:32" ht="14.25" customHeight="1" x14ac:dyDescent="0.25">
      <c r="A8" s="413">
        <v>45717</v>
      </c>
      <c r="B8" s="222">
        <v>0</v>
      </c>
      <c r="C8" s="325">
        <v>0</v>
      </c>
      <c r="E8" s="413">
        <v>45717</v>
      </c>
      <c r="F8" s="222">
        <v>9514.17</v>
      </c>
      <c r="G8" s="414">
        <v>7939.45</v>
      </c>
      <c r="I8" s="413">
        <v>45717</v>
      </c>
      <c r="J8" s="222">
        <v>0</v>
      </c>
      <c r="K8" s="325">
        <v>7109.5</v>
      </c>
      <c r="M8" s="413">
        <v>45717</v>
      </c>
      <c r="N8" s="228">
        <v>0</v>
      </c>
      <c r="O8" s="325">
        <v>9411.3799999999992</v>
      </c>
      <c r="T8" s="413">
        <v>45717</v>
      </c>
      <c r="U8" s="412">
        <v>0.01</v>
      </c>
      <c r="V8" s="412">
        <v>0.01</v>
      </c>
      <c r="W8" s="412">
        <v>0.01</v>
      </c>
      <c r="X8" s="412">
        <v>0.01</v>
      </c>
      <c r="Y8" s="412">
        <v>0.01</v>
      </c>
      <c r="Z8" s="412">
        <v>0.01</v>
      </c>
      <c r="AA8" s="412">
        <v>0.01</v>
      </c>
      <c r="AB8" s="412">
        <v>0.01</v>
      </c>
      <c r="AC8" s="412">
        <v>0.01</v>
      </c>
      <c r="AD8" s="412">
        <v>0.01</v>
      </c>
      <c r="AE8" s="412">
        <v>0.01</v>
      </c>
      <c r="AF8" s="412">
        <v>0.01</v>
      </c>
    </row>
    <row r="9" spans="1:32" ht="14.25" customHeight="1" x14ac:dyDescent="0.25">
      <c r="A9" s="413">
        <v>45748</v>
      </c>
      <c r="B9" s="222">
        <v>0</v>
      </c>
      <c r="C9" s="325">
        <v>0</v>
      </c>
      <c r="E9" s="413">
        <v>45748</v>
      </c>
      <c r="F9" s="222">
        <v>13086.71</v>
      </c>
      <c r="G9" s="414">
        <v>7938.55</v>
      </c>
      <c r="I9" s="413">
        <v>45748</v>
      </c>
      <c r="J9" s="222">
        <v>0</v>
      </c>
      <c r="K9" s="325">
        <v>9138.86</v>
      </c>
      <c r="M9" s="413">
        <v>45748</v>
      </c>
      <c r="N9" s="228">
        <v>0</v>
      </c>
      <c r="O9" s="325">
        <v>13713.48</v>
      </c>
      <c r="T9" s="413">
        <v>45748</v>
      </c>
      <c r="U9" s="412">
        <v>0.01</v>
      </c>
      <c r="V9" s="412">
        <v>0.01</v>
      </c>
      <c r="W9" s="412">
        <v>0.01</v>
      </c>
      <c r="X9" s="412">
        <v>0.01</v>
      </c>
      <c r="Y9" s="412">
        <v>0.01</v>
      </c>
      <c r="Z9" s="412">
        <v>0.01</v>
      </c>
      <c r="AA9" s="412">
        <v>0.01</v>
      </c>
      <c r="AB9" s="412">
        <v>0.01</v>
      </c>
      <c r="AC9" s="412">
        <v>0.01</v>
      </c>
      <c r="AD9" s="412">
        <v>0.01</v>
      </c>
      <c r="AE9" s="412">
        <v>0.01</v>
      </c>
      <c r="AF9" s="412">
        <v>0.01</v>
      </c>
    </row>
    <row r="10" spans="1:32" ht="14.25" customHeight="1" x14ac:dyDescent="0.25">
      <c r="A10" s="413">
        <v>45778</v>
      </c>
      <c r="B10" s="222">
        <v>0</v>
      </c>
      <c r="C10" s="325">
        <v>0</v>
      </c>
      <c r="E10" s="413">
        <v>45778</v>
      </c>
      <c r="F10" s="222">
        <v>6224.26</v>
      </c>
      <c r="G10" s="414">
        <v>2641.19</v>
      </c>
      <c r="I10" s="413">
        <v>45778</v>
      </c>
      <c r="J10" s="222">
        <v>0</v>
      </c>
      <c r="K10" s="325">
        <v>3788.69</v>
      </c>
      <c r="M10" s="413">
        <v>45778</v>
      </c>
      <c r="N10" s="228">
        <v>0</v>
      </c>
      <c r="O10" s="325">
        <v>5142.38</v>
      </c>
      <c r="T10" s="413">
        <v>45778</v>
      </c>
      <c r="U10" s="412">
        <v>0.01</v>
      </c>
      <c r="V10" s="412">
        <v>0.01</v>
      </c>
      <c r="W10" s="412">
        <v>0.01</v>
      </c>
      <c r="X10" s="412">
        <v>0.01</v>
      </c>
      <c r="Y10" s="412">
        <v>0.01</v>
      </c>
      <c r="Z10" s="412">
        <v>0.01</v>
      </c>
      <c r="AA10" s="412">
        <v>0.01</v>
      </c>
      <c r="AB10" s="412">
        <v>0.01</v>
      </c>
      <c r="AC10" s="412">
        <v>0.01</v>
      </c>
      <c r="AD10" s="412">
        <v>0.01</v>
      </c>
      <c r="AE10" s="412">
        <v>0.01</v>
      </c>
      <c r="AF10" s="412">
        <v>0.01</v>
      </c>
    </row>
    <row r="11" spans="1:32" ht="14.25" customHeight="1" x14ac:dyDescent="0.25">
      <c r="A11" s="413">
        <v>45809</v>
      </c>
      <c r="B11" s="222">
        <v>0</v>
      </c>
      <c r="C11" s="325">
        <v>0</v>
      </c>
      <c r="E11" s="413">
        <v>45809</v>
      </c>
      <c r="F11" s="222">
        <v>8972.8799999999992</v>
      </c>
      <c r="G11" s="414">
        <v>5819.69</v>
      </c>
      <c r="I11" s="413">
        <v>45809</v>
      </c>
      <c r="J11" s="222">
        <v>0</v>
      </c>
      <c r="K11" s="325">
        <v>5369.93</v>
      </c>
      <c r="M11" s="413">
        <v>45809</v>
      </c>
      <c r="N11" s="228">
        <v>0</v>
      </c>
      <c r="O11" s="325">
        <v>8199.3799999999992</v>
      </c>
      <c r="T11" s="413">
        <v>45809</v>
      </c>
      <c r="U11" s="412">
        <v>0.01</v>
      </c>
      <c r="V11" s="412">
        <v>0.01</v>
      </c>
      <c r="W11" s="412">
        <v>0.01</v>
      </c>
      <c r="X11" s="412">
        <v>0.01</v>
      </c>
      <c r="Y11" s="412">
        <v>0.01</v>
      </c>
      <c r="Z11" s="412">
        <v>0.01</v>
      </c>
      <c r="AA11" s="412">
        <v>0.01</v>
      </c>
      <c r="AB11" s="412">
        <v>0.01</v>
      </c>
      <c r="AC11" s="412">
        <v>0.01</v>
      </c>
      <c r="AD11" s="412">
        <v>0.01</v>
      </c>
      <c r="AE11" s="412">
        <v>0.01</v>
      </c>
      <c r="AF11" s="412">
        <v>0.01</v>
      </c>
    </row>
    <row r="12" spans="1:32" ht="14.25" customHeight="1" x14ac:dyDescent="0.25">
      <c r="A12" s="413">
        <v>45839</v>
      </c>
      <c r="B12" s="222">
        <v>0</v>
      </c>
      <c r="C12" s="325">
        <v>0</v>
      </c>
      <c r="D12" s="24"/>
      <c r="E12" s="413">
        <v>45839</v>
      </c>
      <c r="F12" s="222">
        <v>8778.27</v>
      </c>
      <c r="G12" s="414">
        <v>144.66999999999999</v>
      </c>
      <c r="I12" s="413">
        <v>45839</v>
      </c>
      <c r="J12" s="222">
        <v>0</v>
      </c>
      <c r="K12" s="325">
        <v>5080.1400000000003</v>
      </c>
      <c r="M12" s="413">
        <v>45839</v>
      </c>
      <c r="N12" s="228">
        <v>0</v>
      </c>
      <c r="O12" s="325">
        <v>8795.5300000000007</v>
      </c>
      <c r="T12" s="413">
        <v>45839</v>
      </c>
      <c r="U12" s="412">
        <v>0.01</v>
      </c>
      <c r="V12" s="412">
        <v>0.01</v>
      </c>
      <c r="W12" s="59">
        <v>0.01</v>
      </c>
      <c r="X12" s="412">
        <v>0.01</v>
      </c>
      <c r="Y12" s="412">
        <v>0.01</v>
      </c>
      <c r="Z12" s="412">
        <v>0.01</v>
      </c>
      <c r="AA12" s="412">
        <v>0.01</v>
      </c>
      <c r="AB12" s="412">
        <v>0.01</v>
      </c>
      <c r="AC12" s="412">
        <v>0.01</v>
      </c>
      <c r="AD12" s="412">
        <v>0.01</v>
      </c>
      <c r="AE12" s="412">
        <v>0.01</v>
      </c>
      <c r="AF12" s="412">
        <v>0.01</v>
      </c>
    </row>
    <row r="13" spans="1:32" ht="14.25" customHeight="1" x14ac:dyDescent="0.25">
      <c r="A13" s="413">
        <v>45870</v>
      </c>
      <c r="B13" s="222">
        <v>0</v>
      </c>
      <c r="C13" s="325">
        <v>0</v>
      </c>
      <c r="D13" s="24"/>
      <c r="E13" s="413">
        <v>45870</v>
      </c>
      <c r="F13" s="222">
        <v>9989.7900000000009</v>
      </c>
      <c r="G13" s="414">
        <v>4751.6000000000004</v>
      </c>
      <c r="I13" s="413">
        <v>45870</v>
      </c>
      <c r="J13" s="222">
        <v>0</v>
      </c>
      <c r="K13" s="325">
        <v>7302.1</v>
      </c>
      <c r="M13" s="413">
        <v>45870</v>
      </c>
      <c r="N13" s="228">
        <v>0</v>
      </c>
      <c r="O13" s="325">
        <v>8282.48</v>
      </c>
      <c r="T13" s="413">
        <v>45870</v>
      </c>
      <c r="U13" s="412">
        <v>0.01</v>
      </c>
      <c r="V13" s="412">
        <v>0.01</v>
      </c>
      <c r="W13" s="59">
        <v>0.01</v>
      </c>
      <c r="X13" s="412">
        <v>0.01</v>
      </c>
      <c r="Y13" s="412">
        <v>0.01</v>
      </c>
      <c r="Z13" s="412">
        <v>0.01</v>
      </c>
      <c r="AA13" s="412">
        <v>0.01</v>
      </c>
      <c r="AB13" s="412">
        <v>0.01</v>
      </c>
      <c r="AC13" s="412">
        <v>0.01</v>
      </c>
      <c r="AD13" s="412">
        <v>0.01</v>
      </c>
      <c r="AE13" s="412">
        <v>0.01</v>
      </c>
      <c r="AF13" s="412">
        <v>0.01</v>
      </c>
    </row>
    <row r="14" spans="1:32" ht="14.25" customHeight="1" x14ac:dyDescent="0.25">
      <c r="A14" s="413">
        <v>45901</v>
      </c>
      <c r="B14" s="222">
        <v>0</v>
      </c>
      <c r="C14" s="325">
        <v>0</v>
      </c>
      <c r="D14" s="24"/>
      <c r="E14" s="413">
        <v>45901</v>
      </c>
      <c r="F14" s="222">
        <v>4756.4799999999996</v>
      </c>
      <c r="G14" s="414">
        <v>4180.43</v>
      </c>
      <c r="I14" s="413">
        <v>45901</v>
      </c>
      <c r="J14" s="222">
        <v>0</v>
      </c>
      <c r="K14" s="325">
        <v>2942.05</v>
      </c>
      <c r="M14" s="413">
        <v>45901</v>
      </c>
      <c r="N14" s="228">
        <v>0</v>
      </c>
      <c r="O14" s="325">
        <v>3782.16</v>
      </c>
      <c r="T14" s="413">
        <v>45901</v>
      </c>
      <c r="U14" s="412">
        <v>0.01</v>
      </c>
      <c r="V14" s="412">
        <v>0.01</v>
      </c>
      <c r="W14" s="59">
        <v>0.01</v>
      </c>
      <c r="X14" s="412">
        <v>0.01</v>
      </c>
      <c r="Y14" s="412">
        <v>0.01</v>
      </c>
      <c r="Z14" s="412">
        <v>0.01</v>
      </c>
      <c r="AA14" s="412">
        <v>0.01</v>
      </c>
      <c r="AB14" s="412">
        <v>0.01</v>
      </c>
      <c r="AC14" s="412">
        <v>0.01</v>
      </c>
      <c r="AD14" s="412">
        <v>0.01</v>
      </c>
      <c r="AE14" s="412">
        <v>0.01</v>
      </c>
      <c r="AF14" s="412">
        <v>0.01</v>
      </c>
    </row>
    <row r="15" spans="1:32" ht="14.25" customHeight="1" x14ac:dyDescent="0.25">
      <c r="A15" s="413">
        <v>45931</v>
      </c>
      <c r="B15" s="222">
        <v>0</v>
      </c>
      <c r="C15" s="325">
        <v>0</v>
      </c>
      <c r="D15" s="24"/>
      <c r="E15" s="413">
        <v>45931</v>
      </c>
      <c r="F15" s="222">
        <v>13292.05</v>
      </c>
      <c r="G15" s="414">
        <v>8295.7900000000009</v>
      </c>
      <c r="I15" s="413">
        <v>45931</v>
      </c>
      <c r="J15" s="222">
        <v>0</v>
      </c>
      <c r="K15" s="325">
        <v>9783.64</v>
      </c>
      <c r="M15" s="413">
        <v>45931</v>
      </c>
      <c r="N15" s="228">
        <v>0</v>
      </c>
      <c r="O15" s="325">
        <v>13032</v>
      </c>
      <c r="T15" s="413">
        <v>45931</v>
      </c>
      <c r="U15" s="412">
        <v>0.01</v>
      </c>
      <c r="V15" s="412">
        <v>0.01</v>
      </c>
      <c r="W15" s="59">
        <v>0.01</v>
      </c>
      <c r="X15" s="412">
        <v>0.01</v>
      </c>
      <c r="Y15" s="412">
        <v>0.01</v>
      </c>
      <c r="Z15" s="412">
        <v>0.01</v>
      </c>
      <c r="AA15" s="412">
        <v>0.01</v>
      </c>
      <c r="AB15" s="412">
        <v>0.01</v>
      </c>
      <c r="AC15" s="412">
        <v>0.01</v>
      </c>
      <c r="AD15" s="412">
        <v>0.01</v>
      </c>
      <c r="AE15" s="412">
        <v>0.01</v>
      </c>
      <c r="AF15" s="412">
        <v>0.01</v>
      </c>
    </row>
    <row r="16" spans="1:32" ht="14.25" customHeight="1" x14ac:dyDescent="0.25">
      <c r="A16" s="413">
        <v>45962</v>
      </c>
      <c r="B16" s="222">
        <v>0</v>
      </c>
      <c r="C16" s="325">
        <v>0</v>
      </c>
      <c r="E16" s="413">
        <v>45962</v>
      </c>
      <c r="F16" s="222">
        <v>8921.4500000000007</v>
      </c>
      <c r="G16" s="414">
        <v>4910.29</v>
      </c>
      <c r="I16" s="413">
        <v>45962</v>
      </c>
      <c r="J16" s="222">
        <v>0</v>
      </c>
      <c r="K16" s="325">
        <v>8062.92</v>
      </c>
      <c r="M16" s="413">
        <v>45962</v>
      </c>
      <c r="N16" s="228">
        <v>0</v>
      </c>
      <c r="O16" s="325">
        <v>9500.75</v>
      </c>
      <c r="T16" s="413">
        <v>45962</v>
      </c>
      <c r="U16" s="412">
        <v>0.01</v>
      </c>
      <c r="V16" s="412">
        <v>0.01</v>
      </c>
      <c r="W16" s="59">
        <v>0.01</v>
      </c>
      <c r="X16" s="412">
        <v>0.01</v>
      </c>
      <c r="Y16" s="412">
        <v>0.01</v>
      </c>
      <c r="Z16" s="412">
        <v>0.01</v>
      </c>
      <c r="AA16" s="412">
        <v>0.01</v>
      </c>
      <c r="AB16" s="412">
        <v>0.01</v>
      </c>
      <c r="AC16" s="412">
        <v>0.01</v>
      </c>
      <c r="AD16" s="412">
        <v>0.01</v>
      </c>
      <c r="AE16" s="412">
        <v>0.01</v>
      </c>
      <c r="AF16" s="412">
        <v>0.01</v>
      </c>
    </row>
    <row r="17" spans="1:32" ht="17.25" customHeight="1" x14ac:dyDescent="0.25">
      <c r="A17" s="415">
        <v>45992</v>
      </c>
      <c r="B17" s="416">
        <v>0</v>
      </c>
      <c r="C17" s="417">
        <v>0</v>
      </c>
      <c r="E17" s="415">
        <v>45992</v>
      </c>
      <c r="F17" s="231">
        <v>4945.26</v>
      </c>
      <c r="G17" s="418">
        <v>3376.21</v>
      </c>
      <c r="I17" s="415">
        <v>45992</v>
      </c>
      <c r="J17" s="231">
        <v>0</v>
      </c>
      <c r="K17" s="343">
        <v>4428.16</v>
      </c>
      <c r="M17" s="415">
        <v>45992</v>
      </c>
      <c r="N17" s="232">
        <v>0</v>
      </c>
      <c r="O17" s="343">
        <v>959.71</v>
      </c>
      <c r="T17" s="415">
        <v>45992</v>
      </c>
      <c r="U17" s="412">
        <v>0.01</v>
      </c>
      <c r="V17" s="412">
        <v>0.01</v>
      </c>
      <c r="W17" s="59">
        <v>0.01</v>
      </c>
      <c r="X17" s="412">
        <v>0.01</v>
      </c>
      <c r="Y17" s="412">
        <v>0.01</v>
      </c>
      <c r="Z17" s="412">
        <v>0.01</v>
      </c>
      <c r="AA17" s="412">
        <v>0.01</v>
      </c>
      <c r="AB17" s="412">
        <v>0.01</v>
      </c>
      <c r="AC17" s="412">
        <v>0.01</v>
      </c>
      <c r="AD17" s="412">
        <v>0.01</v>
      </c>
      <c r="AE17" s="412">
        <v>0.01</v>
      </c>
      <c r="AF17" s="412">
        <v>0.01</v>
      </c>
    </row>
    <row r="18" spans="1:32" ht="28.5" customHeight="1" x14ac:dyDescent="0.25">
      <c r="A18" s="419" t="s">
        <v>26</v>
      </c>
      <c r="B18" s="420">
        <f>SUM(B6:B17)</f>
        <v>0</v>
      </c>
      <c r="C18" s="421">
        <f>SUM(C6:C17)</f>
        <v>0</v>
      </c>
      <c r="E18" s="422" t="s">
        <v>26</v>
      </c>
      <c r="F18" s="423">
        <f>SUM(F6:F17)</f>
        <v>99128.459999999992</v>
      </c>
      <c r="G18" s="423">
        <f>SUM(G6:G17)</f>
        <v>56536.49</v>
      </c>
      <c r="I18" s="404" t="s">
        <v>26</v>
      </c>
      <c r="J18" s="424">
        <f>SUM(J6:J17)</f>
        <v>0</v>
      </c>
      <c r="K18" s="424">
        <f>SUM(K6:K17)</f>
        <v>70268.280000000013</v>
      </c>
      <c r="M18" s="404" t="s">
        <v>26</v>
      </c>
      <c r="N18" s="425">
        <f>SUM(N6:N17)</f>
        <v>0</v>
      </c>
      <c r="O18" s="425">
        <f>SUM(O6:O17)</f>
        <v>88863.32</v>
      </c>
      <c r="T18" s="426" t="s">
        <v>302</v>
      </c>
      <c r="U18" s="427">
        <f t="shared" ref="U18:AF18" si="0">AVERAGE(U6:U17)</f>
        <v>9.9999999999999985E-3</v>
      </c>
      <c r="V18" s="427">
        <f t="shared" si="0"/>
        <v>9.9999999999999985E-3</v>
      </c>
      <c r="W18" s="427">
        <f t="shared" si="0"/>
        <v>9.9999999999999985E-3</v>
      </c>
      <c r="X18" s="427">
        <f t="shared" si="0"/>
        <v>9.9999999999999985E-3</v>
      </c>
      <c r="Y18" s="427">
        <f t="shared" si="0"/>
        <v>9.9999999999999985E-3</v>
      </c>
      <c r="Z18" s="427">
        <f t="shared" si="0"/>
        <v>9.9999999999999985E-3</v>
      </c>
      <c r="AA18" s="427">
        <f t="shared" si="0"/>
        <v>9.9999999999999985E-3</v>
      </c>
      <c r="AB18" s="427">
        <f t="shared" si="0"/>
        <v>9.9999999999999985E-3</v>
      </c>
      <c r="AC18" s="427">
        <f t="shared" si="0"/>
        <v>9.9999999999999985E-3</v>
      </c>
      <c r="AD18" s="427">
        <f t="shared" si="0"/>
        <v>9.9999999999999985E-3</v>
      </c>
      <c r="AE18" s="427">
        <f t="shared" si="0"/>
        <v>9.9999999999999985E-3</v>
      </c>
      <c r="AF18" s="427">
        <f t="shared" si="0"/>
        <v>9.9999999999999985E-3</v>
      </c>
    </row>
    <row r="19" spans="1:32" ht="14.25" customHeight="1" x14ac:dyDescent="0.25">
      <c r="A19" s="419" t="s">
        <v>303</v>
      </c>
      <c r="B19" s="428">
        <f>B18</f>
        <v>0</v>
      </c>
      <c r="C19" s="428">
        <f>C18</f>
        <v>0</v>
      </c>
      <c r="E19" s="419" t="s">
        <v>303</v>
      </c>
      <c r="F19" s="428">
        <f>SUM(F18*42)</f>
        <v>4163395.32</v>
      </c>
      <c r="G19" s="428">
        <f>SUM(G18*42)</f>
        <v>2374532.58</v>
      </c>
      <c r="I19" s="419" t="s">
        <v>303</v>
      </c>
      <c r="J19" s="428">
        <f>SUM(J18*42)</f>
        <v>0</v>
      </c>
      <c r="K19" s="428">
        <f>SUM(K18*42)</f>
        <v>2951267.7600000007</v>
      </c>
      <c r="M19" s="419" t="s">
        <v>303</v>
      </c>
      <c r="N19" s="428">
        <f>SUM(N18*42)</f>
        <v>0</v>
      </c>
      <c r="O19" s="428">
        <f>SUM(O18*42)</f>
        <v>3732259.4400000004</v>
      </c>
    </row>
    <row r="20" spans="1:32" ht="14.25" customHeight="1" x14ac:dyDescent="0.25">
      <c r="F20" s="429"/>
      <c r="G20" s="429"/>
      <c r="H20" s="429"/>
      <c r="I20" s="429"/>
      <c r="J20" s="429"/>
      <c r="K20" s="429"/>
    </row>
    <row r="21" spans="1:32" ht="14.25" customHeight="1" x14ac:dyDescent="0.25">
      <c r="A21" s="592" t="s">
        <v>304</v>
      </c>
      <c r="B21" s="592"/>
      <c r="C21" s="592"/>
      <c r="D21" s="592"/>
      <c r="E21" s="592"/>
      <c r="G21" s="593" t="s">
        <v>305</v>
      </c>
      <c r="H21" s="593"/>
      <c r="I21" s="593"/>
      <c r="J21" s="593"/>
      <c r="K21" s="593"/>
      <c r="L21" s="593"/>
    </row>
    <row r="22" spans="1:32" ht="14.25" customHeight="1" x14ac:dyDescent="0.25">
      <c r="A22" s="592" t="s">
        <v>64</v>
      </c>
      <c r="B22" s="592"/>
      <c r="C22" s="592"/>
      <c r="D22" s="592"/>
      <c r="E22" s="592"/>
      <c r="G22" s="594" t="s">
        <v>65</v>
      </c>
      <c r="H22" s="592" t="s">
        <v>64</v>
      </c>
      <c r="I22" s="592"/>
      <c r="J22" s="592"/>
      <c r="K22" s="595" t="s">
        <v>63</v>
      </c>
      <c r="L22" s="595"/>
    </row>
    <row r="23" spans="1:32" ht="14.25" customHeight="1" x14ac:dyDescent="0.25">
      <c r="A23" s="559" t="s">
        <v>65</v>
      </c>
      <c r="B23" s="430" t="s">
        <v>298</v>
      </c>
      <c r="C23" s="430" t="s">
        <v>299</v>
      </c>
      <c r="D23" s="430" t="s">
        <v>300</v>
      </c>
      <c r="E23" s="430" t="s">
        <v>301</v>
      </c>
      <c r="G23" s="594"/>
      <c r="H23" s="431" t="s">
        <v>306</v>
      </c>
      <c r="I23" s="404" t="s">
        <v>307</v>
      </c>
      <c r="J23" s="432" t="s">
        <v>308</v>
      </c>
      <c r="K23" s="433" t="s">
        <v>307</v>
      </c>
      <c r="L23" s="434" t="s">
        <v>308</v>
      </c>
    </row>
    <row r="24" spans="1:32" ht="14.25" customHeight="1" x14ac:dyDescent="0.25">
      <c r="A24" s="408">
        <v>45658</v>
      </c>
      <c r="B24" s="216">
        <v>24871.86</v>
      </c>
      <c r="C24" s="217">
        <v>28310.38</v>
      </c>
      <c r="D24" s="217">
        <v>12692.88</v>
      </c>
      <c r="E24" s="324">
        <v>13649.65</v>
      </c>
      <c r="G24" s="408">
        <v>45658</v>
      </c>
      <c r="H24" s="294">
        <v>0</v>
      </c>
      <c r="I24" s="217">
        <v>44546.81</v>
      </c>
      <c r="J24" s="217">
        <v>34324.75</v>
      </c>
      <c r="K24" s="253">
        <v>2.5999999999999999E-3</v>
      </c>
      <c r="L24" s="255">
        <v>2.5999999999999999E-3</v>
      </c>
    </row>
    <row r="25" spans="1:32" ht="14.25" customHeight="1" x14ac:dyDescent="0.25">
      <c r="A25" s="413">
        <v>45689</v>
      </c>
      <c r="B25" s="222">
        <v>1815.08</v>
      </c>
      <c r="C25" s="228">
        <v>18373.37</v>
      </c>
      <c r="D25" s="228">
        <v>6494.04</v>
      </c>
      <c r="E25" s="325">
        <v>7876.75</v>
      </c>
      <c r="G25" s="413">
        <v>45689</v>
      </c>
      <c r="H25" s="277">
        <v>0</v>
      </c>
      <c r="I25" s="228">
        <v>33042</v>
      </c>
      <c r="J25" s="228">
        <v>31794.19</v>
      </c>
      <c r="K25" s="265">
        <v>4.0000000000000001E-3</v>
      </c>
      <c r="L25" s="267">
        <v>4.0000000000000001E-3</v>
      </c>
    </row>
    <row r="26" spans="1:32" ht="14.25" customHeight="1" x14ac:dyDescent="0.25">
      <c r="A26" s="413">
        <v>45717</v>
      </c>
      <c r="B26" s="222">
        <v>0</v>
      </c>
      <c r="C26" s="228">
        <v>22878.2</v>
      </c>
      <c r="D26" s="228">
        <v>8855.02</v>
      </c>
      <c r="E26" s="325">
        <v>9093.17</v>
      </c>
      <c r="G26" s="413">
        <v>45717</v>
      </c>
      <c r="H26" s="277">
        <v>0</v>
      </c>
      <c r="I26" s="228">
        <v>52365.1</v>
      </c>
      <c r="J26" s="228">
        <v>48150.54</v>
      </c>
      <c r="K26" s="265">
        <v>6.9999999999999999E-4</v>
      </c>
      <c r="L26" s="267">
        <v>6.9999999999999999E-4</v>
      </c>
    </row>
    <row r="27" spans="1:32" ht="14.25" customHeight="1" x14ac:dyDescent="0.25">
      <c r="A27" s="413">
        <v>45748</v>
      </c>
      <c r="B27" s="222">
        <v>0</v>
      </c>
      <c r="C27" s="228">
        <v>20540.759999999998</v>
      </c>
      <c r="D27" s="228">
        <v>9853.19</v>
      </c>
      <c r="E27" s="325">
        <v>9404.56</v>
      </c>
      <c r="G27" s="413">
        <v>45748</v>
      </c>
      <c r="H27" s="277">
        <v>0</v>
      </c>
      <c r="I27" s="228">
        <v>57468.03</v>
      </c>
      <c r="J27" s="228">
        <v>55562.14</v>
      </c>
      <c r="K27" s="265">
        <v>5.0000000000000001E-4</v>
      </c>
      <c r="L27" s="267">
        <v>5.0000000000000001E-4</v>
      </c>
    </row>
    <row r="28" spans="1:32" ht="14.25" customHeight="1" x14ac:dyDescent="0.25">
      <c r="A28" s="413">
        <v>45778</v>
      </c>
      <c r="B28" s="222">
        <v>0</v>
      </c>
      <c r="C28" s="228">
        <v>5464.64</v>
      </c>
      <c r="D28" s="228">
        <v>2511.11</v>
      </c>
      <c r="E28" s="325">
        <v>2244.85</v>
      </c>
      <c r="G28" s="413">
        <v>45778</v>
      </c>
      <c r="H28" s="277">
        <v>0</v>
      </c>
      <c r="I28" s="228">
        <v>27834.720000000001</v>
      </c>
      <c r="J28" s="228">
        <v>18531.669999999998</v>
      </c>
      <c r="K28" s="265">
        <v>8.0000000000000004E-4</v>
      </c>
      <c r="L28" s="267">
        <v>8.0000000000000004E-4</v>
      </c>
    </row>
    <row r="29" spans="1:32" ht="14.25" customHeight="1" x14ac:dyDescent="0.25">
      <c r="A29" s="413">
        <v>45809</v>
      </c>
      <c r="B29" s="222">
        <v>0</v>
      </c>
      <c r="C29" s="228">
        <v>7474.91</v>
      </c>
      <c r="D29" s="228">
        <v>3547.28</v>
      </c>
      <c r="E29" s="325">
        <v>3398.44</v>
      </c>
      <c r="G29" s="413">
        <v>45809</v>
      </c>
      <c r="H29" s="277">
        <v>0</v>
      </c>
      <c r="I29" s="228">
        <v>43247.59</v>
      </c>
      <c r="J29" s="228">
        <v>0</v>
      </c>
      <c r="K29" s="265">
        <v>8.0000000000000004E-4</v>
      </c>
      <c r="L29" s="267">
        <v>8.0000000000000004E-4</v>
      </c>
    </row>
    <row r="30" spans="1:32" ht="14.25" customHeight="1" x14ac:dyDescent="0.25">
      <c r="A30" s="413">
        <v>45839</v>
      </c>
      <c r="B30" s="222">
        <v>0</v>
      </c>
      <c r="C30" s="228">
        <v>0</v>
      </c>
      <c r="D30" s="228">
        <v>4987.25</v>
      </c>
      <c r="E30" s="325">
        <v>5025.16</v>
      </c>
      <c r="G30" s="413">
        <v>45839</v>
      </c>
      <c r="H30" s="277">
        <v>0</v>
      </c>
      <c r="I30" s="228">
        <v>45846.45</v>
      </c>
      <c r="J30" s="228">
        <v>0</v>
      </c>
      <c r="K30" s="265">
        <v>1E-3</v>
      </c>
      <c r="L30" s="267">
        <v>1E-3</v>
      </c>
    </row>
    <row r="31" spans="1:32" ht="14.25" customHeight="1" x14ac:dyDescent="0.25">
      <c r="A31" s="413">
        <v>45870</v>
      </c>
      <c r="B31" s="222">
        <v>0</v>
      </c>
      <c r="C31" s="228">
        <v>0</v>
      </c>
      <c r="D31" s="228">
        <v>4907.91</v>
      </c>
      <c r="E31" s="325">
        <v>4849.88</v>
      </c>
      <c r="G31" s="413">
        <v>45870</v>
      </c>
      <c r="H31" s="277">
        <v>0</v>
      </c>
      <c r="I31" s="228">
        <v>50161.47</v>
      </c>
      <c r="J31" s="228">
        <v>0</v>
      </c>
      <c r="K31" s="265">
        <v>1E-3</v>
      </c>
      <c r="L31" s="267">
        <v>1E-3</v>
      </c>
    </row>
    <row r="32" spans="1:32" ht="14.25" customHeight="1" x14ac:dyDescent="0.25">
      <c r="A32" s="413">
        <v>45901</v>
      </c>
      <c r="B32" s="222">
        <v>0</v>
      </c>
      <c r="C32" s="228">
        <v>0</v>
      </c>
      <c r="D32" s="228">
        <v>1698.16</v>
      </c>
      <c r="E32" s="325">
        <v>1785.66</v>
      </c>
      <c r="G32" s="413">
        <v>45901</v>
      </c>
      <c r="H32" s="277">
        <v>0</v>
      </c>
      <c r="I32" s="228">
        <v>28128.7</v>
      </c>
      <c r="J32" s="228">
        <v>0</v>
      </c>
      <c r="K32" s="265">
        <v>1E-3</v>
      </c>
      <c r="L32" s="267">
        <v>1E-3</v>
      </c>
    </row>
    <row r="33" spans="1:14" ht="14.25" customHeight="1" x14ac:dyDescent="0.25">
      <c r="A33" s="413">
        <v>45931</v>
      </c>
      <c r="B33" s="222">
        <v>0</v>
      </c>
      <c r="C33" s="228">
        <v>0</v>
      </c>
      <c r="D33" s="228">
        <v>5752.06</v>
      </c>
      <c r="E33" s="325">
        <v>5895.34</v>
      </c>
      <c r="G33" s="413">
        <v>45931</v>
      </c>
      <c r="H33" s="277">
        <v>0</v>
      </c>
      <c r="I33" s="228">
        <v>57709.58</v>
      </c>
      <c r="J33" s="228">
        <v>0</v>
      </c>
      <c r="K33" s="265">
        <v>1E-3</v>
      </c>
      <c r="L33" s="267">
        <v>1E-3</v>
      </c>
    </row>
    <row r="34" spans="1:14" ht="14.25" customHeight="1" x14ac:dyDescent="0.25">
      <c r="A34" s="413">
        <v>45962</v>
      </c>
      <c r="B34" s="222">
        <v>0</v>
      </c>
      <c r="C34" s="228">
        <v>0</v>
      </c>
      <c r="D34" s="228">
        <v>5550.1</v>
      </c>
      <c r="E34" s="325">
        <v>5682.3</v>
      </c>
      <c r="G34" s="413">
        <v>45962</v>
      </c>
      <c r="H34" s="277">
        <v>0</v>
      </c>
      <c r="I34" s="228">
        <v>25470.55</v>
      </c>
      <c r="J34" s="228">
        <v>0</v>
      </c>
      <c r="K34" s="265">
        <v>1E-3</v>
      </c>
      <c r="L34" s="267">
        <v>1E-3</v>
      </c>
    </row>
    <row r="35" spans="1:14" ht="14.25" customHeight="1" x14ac:dyDescent="0.25">
      <c r="A35" s="415">
        <v>45992</v>
      </c>
      <c r="B35" s="231">
        <v>0</v>
      </c>
      <c r="C35" s="232">
        <v>0</v>
      </c>
      <c r="D35" s="232">
        <v>10766.3</v>
      </c>
      <c r="E35" s="343">
        <v>10808.59</v>
      </c>
      <c r="G35" s="415">
        <v>45992</v>
      </c>
      <c r="H35" s="281">
        <v>0</v>
      </c>
      <c r="I35" s="232">
        <v>10262.73</v>
      </c>
      <c r="J35" s="232">
        <v>0</v>
      </c>
      <c r="K35" s="435">
        <v>1E-3</v>
      </c>
      <c r="L35" s="436">
        <v>1E-3</v>
      </c>
    </row>
    <row r="36" spans="1:14" ht="14.25" customHeight="1" x14ac:dyDescent="0.25">
      <c r="A36" s="403" t="s">
        <v>26</v>
      </c>
      <c r="B36" s="437">
        <f>SUM(B24:B35)</f>
        <v>26686.940000000002</v>
      </c>
      <c r="C36" s="437">
        <f>SUM(C24:C35)</f>
        <v>103042.26</v>
      </c>
      <c r="D36" s="437">
        <f>SUM(D24:D35)</f>
        <v>77615.3</v>
      </c>
      <c r="E36" s="437">
        <f>SUM(E24:E35)</f>
        <v>79714.350000000006</v>
      </c>
      <c r="G36" s="560" t="s">
        <v>26</v>
      </c>
      <c r="H36" s="438">
        <f>SUM(H30:H35)</f>
        <v>0</v>
      </c>
      <c r="I36" s="438">
        <f>SUM(I24:I35)</f>
        <v>476083.73000000004</v>
      </c>
      <c r="J36" s="438">
        <f>SUM(J24:J35)</f>
        <v>188363.28999999998</v>
      </c>
      <c r="K36" s="439">
        <f>AVERAGE(K24:K35)</f>
        <v>1.2833333333333336E-3</v>
      </c>
      <c r="L36" s="439">
        <f>AVERAGE(L24:L35)</f>
        <v>1.2833333333333336E-3</v>
      </c>
      <c r="N36" s="401" t="s">
        <v>309</v>
      </c>
    </row>
    <row r="37" spans="1:14" ht="14.25" customHeight="1" x14ac:dyDescent="0.25">
      <c r="A37" s="419" t="s">
        <v>303</v>
      </c>
      <c r="B37" s="428">
        <f>SUM(B36*42)</f>
        <v>1120851.48</v>
      </c>
      <c r="C37" s="428">
        <f>SUM(C36*42)</f>
        <v>4327774.92</v>
      </c>
      <c r="D37" s="428">
        <f>SUM(D36*42)</f>
        <v>3259842.6</v>
      </c>
      <c r="E37" s="428">
        <f>SUM(E36*42)</f>
        <v>3348002.7</v>
      </c>
      <c r="G37" s="406" t="s">
        <v>303</v>
      </c>
      <c r="H37" s="428">
        <f>SUM(H36*42)</f>
        <v>0</v>
      </c>
      <c r="I37" s="428">
        <f>SUM(I36*42)</f>
        <v>19995516.66</v>
      </c>
      <c r="J37" s="428">
        <f>SUM(J36*42)</f>
        <v>7911258.1799999988</v>
      </c>
      <c r="K37" s="440"/>
      <c r="L37" s="440"/>
    </row>
  </sheetData>
  <mergeCells count="14">
    <mergeCell ref="A21:E21"/>
    <mergeCell ref="G21:L21"/>
    <mergeCell ref="A22:E22"/>
    <mergeCell ref="G22:G23"/>
    <mergeCell ref="H22:J22"/>
    <mergeCell ref="K22:L22"/>
    <mergeCell ref="A3:C3"/>
    <mergeCell ref="E3:G3"/>
    <mergeCell ref="I3:K3"/>
    <mergeCell ref="M3:O3"/>
    <mergeCell ref="A4:C4"/>
    <mergeCell ref="E4:G4"/>
    <mergeCell ref="I4:K4"/>
    <mergeCell ref="M4:O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AD67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1" width="17.28515625" customWidth="1"/>
    <col min="2" max="2" width="17.85546875" customWidth="1"/>
    <col min="3" max="3" width="9.42578125" customWidth="1"/>
    <col min="4" max="4" width="10.85546875" customWidth="1"/>
    <col min="5" max="5" width="15.140625" customWidth="1"/>
    <col min="6" max="6" width="10.140625" customWidth="1"/>
    <col min="7" max="7" width="7.7109375" customWidth="1"/>
    <col min="9" max="9" width="8.140625" customWidth="1"/>
    <col min="10" max="10" width="7" customWidth="1"/>
    <col min="11" max="11" width="7.42578125" customWidth="1"/>
    <col min="12" max="12" width="17.5703125" customWidth="1"/>
    <col min="13" max="13" width="15.140625" customWidth="1"/>
    <col min="14" max="14" width="9" customWidth="1"/>
    <col min="15" max="15" width="10.7109375" customWidth="1"/>
    <col min="16" max="16" width="11.85546875" customWidth="1"/>
    <col min="27" max="27" width="12.42578125" customWidth="1"/>
    <col min="28" max="30" width="13.28515625" customWidth="1"/>
  </cols>
  <sheetData>
    <row r="2" spans="1:30" ht="14.25" customHeight="1" x14ac:dyDescent="0.2">
      <c r="A2" s="574" t="s">
        <v>310</v>
      </c>
      <c r="B2" s="574"/>
      <c r="C2" s="574"/>
      <c r="D2" s="574"/>
      <c r="E2" s="574"/>
      <c r="F2" s="574"/>
      <c r="G2" s="574"/>
      <c r="H2" s="574"/>
      <c r="I2" s="574"/>
      <c r="J2" s="574"/>
      <c r="K2" s="574"/>
      <c r="L2" s="574" t="s">
        <v>311</v>
      </c>
      <c r="M2" s="574"/>
      <c r="N2" s="574"/>
      <c r="O2" s="574"/>
      <c r="P2" s="574"/>
      <c r="Q2" s="574"/>
      <c r="R2" s="574"/>
      <c r="S2" s="574"/>
      <c r="T2" s="574"/>
      <c r="U2" s="574"/>
      <c r="V2" s="574"/>
      <c r="AA2" s="441" t="s">
        <v>312</v>
      </c>
    </row>
    <row r="3" spans="1:30" ht="14.25" customHeight="1" x14ac:dyDescent="0.25">
      <c r="AB3" s="442" t="s">
        <v>313</v>
      </c>
      <c r="AC3" s="442" t="s">
        <v>314</v>
      </c>
      <c r="AD3" s="442" t="s">
        <v>315</v>
      </c>
    </row>
    <row r="4" spans="1:30" ht="14.25" customHeight="1" x14ac:dyDescent="0.25">
      <c r="A4" s="443" t="s">
        <v>316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443" t="s">
        <v>316</v>
      </c>
      <c r="M4" s="103"/>
      <c r="N4" s="103"/>
      <c r="O4" s="103"/>
      <c r="P4" s="103"/>
      <c r="Q4" s="103"/>
      <c r="R4" s="103"/>
      <c r="S4" s="103"/>
      <c r="T4" s="103"/>
      <c r="U4" s="103"/>
      <c r="V4" s="103"/>
      <c r="AA4" s="408">
        <v>45658</v>
      </c>
      <c r="AB4" s="444">
        <v>0</v>
      </c>
      <c r="AC4" s="217">
        <v>234</v>
      </c>
      <c r="AD4" s="324">
        <v>180</v>
      </c>
    </row>
    <row r="5" spans="1:30" ht="14.25" customHeight="1" x14ac:dyDescent="0.25">
      <c r="A5" s="84" t="s">
        <v>317</v>
      </c>
      <c r="B5" s="103" t="s">
        <v>318</v>
      </c>
      <c r="C5" s="103"/>
      <c r="D5" s="103"/>
      <c r="E5" s="103"/>
      <c r="F5" s="103"/>
      <c r="G5" s="103"/>
      <c r="H5" s="103"/>
      <c r="I5" s="103"/>
      <c r="J5" s="103"/>
      <c r="K5" s="103"/>
      <c r="L5" s="84" t="s">
        <v>317</v>
      </c>
      <c r="M5" s="103" t="s">
        <v>318</v>
      </c>
      <c r="N5" s="103"/>
      <c r="O5" s="103"/>
      <c r="P5" s="103"/>
      <c r="Q5" s="103"/>
      <c r="R5" s="103"/>
      <c r="S5" s="103"/>
      <c r="T5" s="103"/>
      <c r="U5" s="103"/>
      <c r="V5" s="103"/>
      <c r="AA5" s="413">
        <v>45689</v>
      </c>
      <c r="AB5" s="445">
        <v>0</v>
      </c>
      <c r="AC5" s="228">
        <v>235</v>
      </c>
      <c r="AD5" s="325">
        <v>205</v>
      </c>
    </row>
    <row r="6" spans="1:30" ht="14.25" customHeight="1" x14ac:dyDescent="0.25">
      <c r="A6" s="84" t="s">
        <v>319</v>
      </c>
      <c r="B6" s="103" t="s">
        <v>320</v>
      </c>
      <c r="C6" s="103"/>
      <c r="D6" s="103"/>
      <c r="E6" s="103"/>
      <c r="F6" s="103"/>
      <c r="G6" s="103"/>
      <c r="H6" s="103"/>
      <c r="I6" s="103"/>
      <c r="J6" s="103"/>
      <c r="K6" s="103"/>
      <c r="L6" s="84" t="s">
        <v>319</v>
      </c>
      <c r="M6" s="103" t="s">
        <v>320</v>
      </c>
      <c r="N6" s="103"/>
      <c r="O6" s="103"/>
      <c r="P6" s="103"/>
      <c r="Q6" s="103"/>
      <c r="R6" s="103"/>
      <c r="S6" s="103"/>
      <c r="T6" s="103"/>
      <c r="U6" s="103"/>
      <c r="V6" s="103"/>
      <c r="AA6" s="413">
        <v>45717</v>
      </c>
      <c r="AB6" s="445">
        <v>0</v>
      </c>
      <c r="AC6" s="228">
        <v>351</v>
      </c>
      <c r="AD6" s="325">
        <v>266</v>
      </c>
    </row>
    <row r="7" spans="1:30" ht="14.25" customHeight="1" x14ac:dyDescent="0.25">
      <c r="A7" s="84" t="s">
        <v>20</v>
      </c>
      <c r="B7" s="193" t="s">
        <v>321</v>
      </c>
      <c r="C7" s="193"/>
      <c r="D7" s="193"/>
      <c r="E7" s="193"/>
      <c r="F7" s="193"/>
      <c r="G7" s="193"/>
      <c r="H7" s="193"/>
      <c r="I7" s="193"/>
      <c r="J7" s="193"/>
      <c r="K7" s="193"/>
      <c r="L7" s="84" t="s">
        <v>20</v>
      </c>
      <c r="M7" s="193" t="s">
        <v>321</v>
      </c>
      <c r="N7" s="193"/>
      <c r="O7" s="193"/>
      <c r="P7" s="193"/>
      <c r="Q7" s="193"/>
      <c r="R7" s="193"/>
      <c r="S7" s="193"/>
      <c r="T7" s="193"/>
      <c r="U7" s="193"/>
      <c r="V7" s="193"/>
      <c r="AA7" s="413">
        <v>45748</v>
      </c>
      <c r="AB7" s="445">
        <v>0</v>
      </c>
      <c r="AC7" s="228">
        <v>288</v>
      </c>
      <c r="AD7" s="325">
        <v>260</v>
      </c>
    </row>
    <row r="8" spans="1:30" ht="14.25" customHeight="1" x14ac:dyDescent="0.25">
      <c r="A8" s="84" t="s">
        <v>322</v>
      </c>
      <c r="B8" s="103" t="s">
        <v>323</v>
      </c>
      <c r="C8" s="103"/>
      <c r="D8" s="103"/>
      <c r="E8" s="103"/>
      <c r="F8" s="103"/>
      <c r="G8" s="103"/>
      <c r="H8" s="103"/>
      <c r="I8" s="103"/>
      <c r="J8" s="103"/>
      <c r="K8" s="103"/>
      <c r="L8" s="84" t="s">
        <v>322</v>
      </c>
      <c r="M8" s="103" t="s">
        <v>323</v>
      </c>
      <c r="N8" s="103"/>
      <c r="O8" s="103"/>
      <c r="P8" s="103"/>
      <c r="Q8" s="103"/>
      <c r="R8" s="103"/>
      <c r="S8" s="103"/>
      <c r="T8" s="103"/>
      <c r="U8" s="103"/>
      <c r="V8" s="103"/>
      <c r="AA8" s="413">
        <v>45778</v>
      </c>
      <c r="AB8" s="445">
        <v>0</v>
      </c>
      <c r="AC8" s="228">
        <v>154</v>
      </c>
      <c r="AD8" s="325">
        <v>121</v>
      </c>
    </row>
    <row r="9" spans="1:30" ht="14.25" customHeight="1" x14ac:dyDescent="0.25">
      <c r="A9" s="84" t="s">
        <v>21</v>
      </c>
      <c r="B9" s="193" t="s">
        <v>321</v>
      </c>
      <c r="C9" s="193"/>
      <c r="D9" s="193"/>
      <c r="E9" s="193"/>
      <c r="F9" s="193"/>
      <c r="G9" s="193"/>
      <c r="H9" s="193"/>
      <c r="I9" s="193"/>
      <c r="J9" s="193"/>
      <c r="K9" s="193"/>
      <c r="L9" s="84" t="s">
        <v>21</v>
      </c>
      <c r="M9" s="193" t="s">
        <v>321</v>
      </c>
      <c r="N9" s="193"/>
      <c r="O9" s="193"/>
      <c r="P9" s="193"/>
      <c r="Q9" s="193"/>
      <c r="R9" s="193"/>
      <c r="S9" s="193"/>
      <c r="T9" s="193"/>
      <c r="U9" s="193"/>
      <c r="V9" s="193"/>
      <c r="AA9" s="413">
        <v>45809</v>
      </c>
      <c r="AB9" s="445">
        <v>0</v>
      </c>
      <c r="AC9" s="228">
        <v>178</v>
      </c>
      <c r="AD9" s="325">
        <v>0</v>
      </c>
    </row>
    <row r="10" spans="1:30" ht="14.25" customHeight="1" x14ac:dyDescent="0.25">
      <c r="A10" s="195" t="s">
        <v>324</v>
      </c>
      <c r="B10" s="103" t="s">
        <v>325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95" t="s">
        <v>324</v>
      </c>
      <c r="M10" s="103" t="s">
        <v>325</v>
      </c>
      <c r="N10" s="103"/>
      <c r="O10" s="103"/>
      <c r="P10" s="103"/>
      <c r="Q10" s="103"/>
      <c r="R10" s="103"/>
      <c r="S10" s="103"/>
      <c r="T10" s="103"/>
      <c r="U10" s="103"/>
      <c r="V10" s="103"/>
      <c r="AA10" s="413">
        <v>45839</v>
      </c>
      <c r="AB10" s="445">
        <v>0</v>
      </c>
      <c r="AC10" s="228">
        <v>201</v>
      </c>
      <c r="AD10" s="325">
        <v>0</v>
      </c>
    </row>
    <row r="11" spans="1:30" ht="14.25" customHeight="1" x14ac:dyDescent="0.25">
      <c r="A11" s="446"/>
      <c r="B11" s="562"/>
      <c r="C11" s="562"/>
      <c r="D11" s="562"/>
      <c r="E11" s="562"/>
      <c r="F11" s="562"/>
      <c r="G11" s="562"/>
      <c r="H11" s="562"/>
      <c r="I11" s="562"/>
      <c r="J11" s="562"/>
      <c r="K11" s="562"/>
      <c r="L11" s="446"/>
      <c r="M11" s="562"/>
      <c r="N11" s="562"/>
      <c r="O11" s="562"/>
      <c r="P11" s="562"/>
      <c r="Q11" s="562"/>
      <c r="R11" s="562"/>
      <c r="S11" s="562"/>
      <c r="T11" s="562"/>
      <c r="U11" s="562"/>
      <c r="V11" s="562"/>
      <c r="AA11" s="413">
        <v>45870</v>
      </c>
      <c r="AB11" s="445">
        <v>0</v>
      </c>
      <c r="AC11" s="228">
        <v>258</v>
      </c>
      <c r="AD11" s="325">
        <v>0</v>
      </c>
    </row>
    <row r="12" spans="1:30" ht="14.25" customHeight="1" x14ac:dyDescent="0.25">
      <c r="AA12" s="413">
        <v>45901</v>
      </c>
      <c r="AB12" s="445">
        <v>0</v>
      </c>
      <c r="AC12" s="228">
        <v>151</v>
      </c>
      <c r="AD12" s="325">
        <v>0</v>
      </c>
    </row>
    <row r="13" spans="1:30" ht="14.25" customHeight="1" x14ac:dyDescent="0.25">
      <c r="A13" s="84" t="s">
        <v>326</v>
      </c>
      <c r="B13" s="197">
        <f>SUM(Turbinas!I37)</f>
        <v>19995516.66</v>
      </c>
      <c r="C13" s="84" t="s">
        <v>327</v>
      </c>
      <c r="D13" s="84"/>
      <c r="E13" s="84"/>
      <c r="F13" s="84"/>
      <c r="G13" s="84"/>
      <c r="H13" s="84"/>
      <c r="I13" s="84"/>
      <c r="J13" s="84"/>
      <c r="K13" s="84"/>
      <c r="L13" s="84" t="s">
        <v>326</v>
      </c>
      <c r="M13" s="197">
        <f>SUM(Turbinas!J37)</f>
        <v>7911258.1799999988</v>
      </c>
      <c r="N13" s="84" t="s">
        <v>327</v>
      </c>
      <c r="O13" s="84"/>
      <c r="P13" s="84"/>
      <c r="Q13" s="84"/>
      <c r="R13" s="84"/>
      <c r="S13" s="84"/>
      <c r="T13" s="84"/>
      <c r="U13" s="84"/>
      <c r="V13" s="84"/>
      <c r="AA13" s="413">
        <v>45931</v>
      </c>
      <c r="AB13" s="445">
        <v>0</v>
      </c>
      <c r="AC13" s="228">
        <v>300</v>
      </c>
      <c r="AD13" s="325">
        <v>0</v>
      </c>
    </row>
    <row r="14" spans="1:30" ht="14.25" customHeight="1" x14ac:dyDescent="0.25">
      <c r="A14" s="84" t="s">
        <v>90</v>
      </c>
      <c r="B14" s="447">
        <f>SUM(Turbinas!K36)</f>
        <v>1.2833333333333336E-3</v>
      </c>
      <c r="C14" s="84"/>
      <c r="D14" s="84"/>
      <c r="E14" s="84"/>
      <c r="F14" s="84"/>
      <c r="G14" s="84"/>
      <c r="H14" s="84"/>
      <c r="I14" s="84"/>
      <c r="J14" s="84"/>
      <c r="K14" s="84"/>
      <c r="L14" s="84" t="s">
        <v>90</v>
      </c>
      <c r="M14" s="447">
        <f>SUM(Turbinas!L36)</f>
        <v>1.2833333333333336E-3</v>
      </c>
      <c r="N14" s="84"/>
      <c r="O14" s="84"/>
      <c r="P14" s="84"/>
      <c r="Q14" s="84"/>
      <c r="R14" s="84"/>
      <c r="S14" s="84"/>
      <c r="T14" s="84"/>
      <c r="U14" s="84"/>
      <c r="V14" s="84"/>
      <c r="AA14" s="413">
        <v>45962</v>
      </c>
      <c r="AB14" s="445">
        <v>0</v>
      </c>
      <c r="AC14" s="228">
        <v>89</v>
      </c>
      <c r="AD14" s="325">
        <v>0</v>
      </c>
    </row>
    <row r="15" spans="1:30" ht="14.25" customHeight="1" x14ac:dyDescent="0.25">
      <c r="A15" s="84" t="s">
        <v>328</v>
      </c>
      <c r="B15" s="448">
        <f>SUM(AC34)</f>
        <v>1034</v>
      </c>
      <c r="C15" s="84" t="s">
        <v>329</v>
      </c>
      <c r="D15" s="84"/>
      <c r="E15" s="84"/>
      <c r="F15" s="84"/>
      <c r="G15" s="84"/>
      <c r="H15" s="84"/>
      <c r="I15" s="84"/>
      <c r="J15" s="84"/>
      <c r="K15" s="84"/>
      <c r="L15" s="84" t="s">
        <v>328</v>
      </c>
      <c r="M15" s="448">
        <f>AD34</f>
        <v>382</v>
      </c>
      <c r="N15" s="84" t="s">
        <v>329</v>
      </c>
      <c r="O15" s="84"/>
      <c r="P15" s="84"/>
      <c r="Q15" s="84"/>
      <c r="R15" s="84"/>
      <c r="S15" s="84"/>
      <c r="T15" s="84"/>
      <c r="U15" s="84"/>
      <c r="V15" s="84"/>
      <c r="AA15" s="415">
        <v>45992</v>
      </c>
      <c r="AB15" s="449">
        <v>0</v>
      </c>
      <c r="AC15" s="450">
        <v>29</v>
      </c>
      <c r="AD15" s="417">
        <v>0</v>
      </c>
    </row>
    <row r="16" spans="1:30" ht="14.25" customHeight="1" x14ac:dyDescent="0.25">
      <c r="A16" s="84" t="s">
        <v>330</v>
      </c>
      <c r="B16" s="448">
        <f>AC16</f>
        <v>2468</v>
      </c>
      <c r="C16" s="84" t="s">
        <v>329</v>
      </c>
      <c r="D16" s="84"/>
      <c r="E16" s="84"/>
      <c r="F16" s="84"/>
      <c r="G16" s="84"/>
      <c r="H16" s="84"/>
      <c r="I16" s="84"/>
      <c r="J16" s="84"/>
      <c r="K16" s="84"/>
      <c r="L16" s="84" t="s">
        <v>330</v>
      </c>
      <c r="M16" s="448">
        <f>AD16</f>
        <v>1032</v>
      </c>
      <c r="N16" s="84" t="s">
        <v>329</v>
      </c>
      <c r="O16" s="84"/>
      <c r="P16" s="84"/>
      <c r="Q16" s="84"/>
      <c r="R16" s="84"/>
      <c r="S16" s="84"/>
      <c r="T16" s="84"/>
      <c r="U16" s="84"/>
      <c r="V16" s="84"/>
      <c r="AA16" s="451" t="s">
        <v>77</v>
      </c>
      <c r="AB16" s="236">
        <f>SUM(AB10:AB15)</f>
        <v>0</v>
      </c>
      <c r="AC16" s="286">
        <f>SUM(AC4:AC15)</f>
        <v>2468</v>
      </c>
      <c r="AD16" s="289">
        <f>SUM(AD4:AD15)</f>
        <v>1032</v>
      </c>
    </row>
    <row r="17" spans="1:30" ht="14.25" customHeight="1" x14ac:dyDescent="0.2">
      <c r="B17" s="84"/>
      <c r="C17" s="84"/>
      <c r="D17" s="84"/>
      <c r="E17" s="84"/>
      <c r="F17" s="84"/>
      <c r="G17" s="84"/>
      <c r="H17" s="84"/>
      <c r="I17" s="84"/>
      <c r="J17" s="84"/>
      <c r="K17" s="84"/>
      <c r="N17" s="84"/>
      <c r="O17" s="84"/>
      <c r="P17" s="84"/>
      <c r="Q17" s="84"/>
      <c r="R17" s="84"/>
      <c r="S17" s="84"/>
      <c r="T17" s="84"/>
      <c r="U17" s="84"/>
      <c r="V17" s="84"/>
    </row>
    <row r="19" spans="1:30" ht="14.25" customHeight="1" x14ac:dyDescent="0.2">
      <c r="A19" s="103" t="s">
        <v>191</v>
      </c>
      <c r="B19" s="103"/>
      <c r="C19" s="84"/>
      <c r="D19" s="84"/>
      <c r="E19" s="84"/>
      <c r="F19" s="84"/>
      <c r="G19" s="84"/>
      <c r="H19" s="84"/>
      <c r="I19" s="84"/>
      <c r="J19" s="84"/>
      <c r="K19" s="84"/>
      <c r="L19" s="103" t="s">
        <v>191</v>
      </c>
      <c r="M19" s="103"/>
      <c r="N19" s="84"/>
      <c r="O19" s="84"/>
      <c r="P19" s="84"/>
      <c r="Q19" s="84"/>
      <c r="R19" s="84"/>
      <c r="S19" s="84"/>
      <c r="T19" s="84"/>
      <c r="U19" s="84"/>
      <c r="V19" s="84"/>
    </row>
    <row r="20" spans="1:30" ht="14.25" customHeight="1" x14ac:dyDescent="0.2">
      <c r="AA20" s="441" t="s">
        <v>331</v>
      </c>
    </row>
    <row r="21" spans="1:30" ht="14.25" customHeight="1" x14ac:dyDescent="0.25">
      <c r="A21" s="199" t="s">
        <v>92</v>
      </c>
      <c r="B21" s="371">
        <v>51</v>
      </c>
      <c r="C21" s="371" t="s">
        <v>93</v>
      </c>
      <c r="D21" s="383">
        <f>B15</f>
        <v>1034</v>
      </c>
      <c r="E21" s="371" t="s">
        <v>332</v>
      </c>
      <c r="F21" s="371">
        <v>51</v>
      </c>
      <c r="G21" s="452" t="s">
        <v>93</v>
      </c>
      <c r="H21" s="453">
        <f>B16</f>
        <v>2468</v>
      </c>
      <c r="I21" s="384" t="s">
        <v>333</v>
      </c>
      <c r="J21" s="371">
        <v>1</v>
      </c>
      <c r="K21" s="371" t="s">
        <v>96</v>
      </c>
      <c r="L21" s="199" t="s">
        <v>92</v>
      </c>
      <c r="M21" s="371">
        <v>51</v>
      </c>
      <c r="N21" s="371" t="s">
        <v>93</v>
      </c>
      <c r="O21" s="383">
        <f>M15</f>
        <v>382</v>
      </c>
      <c r="P21" s="371" t="s">
        <v>332</v>
      </c>
      <c r="Q21" s="371">
        <v>51</v>
      </c>
      <c r="R21" s="452" t="s">
        <v>93</v>
      </c>
      <c r="S21" s="453">
        <f>M16</f>
        <v>1032</v>
      </c>
      <c r="T21" s="384" t="s">
        <v>333</v>
      </c>
      <c r="U21" s="371">
        <v>1</v>
      </c>
      <c r="V21" s="371" t="s">
        <v>96</v>
      </c>
      <c r="AB21" s="442" t="s">
        <v>313</v>
      </c>
      <c r="AC21" s="442" t="s">
        <v>314</v>
      </c>
      <c r="AD21" s="442" t="s">
        <v>315</v>
      </c>
    </row>
    <row r="22" spans="1:30" ht="14.25" customHeight="1" x14ac:dyDescent="0.25">
      <c r="A22" s="84"/>
      <c r="B22" s="103"/>
      <c r="C22" s="207" t="s">
        <v>98</v>
      </c>
      <c r="D22" s="596"/>
      <c r="E22" s="596"/>
      <c r="F22" s="454"/>
      <c r="G22" s="207" t="s">
        <v>98</v>
      </c>
      <c r="H22" s="209"/>
      <c r="I22" s="386"/>
      <c r="J22" s="84">
        <v>2000</v>
      </c>
      <c r="K22" s="84" t="s">
        <v>93</v>
      </c>
      <c r="L22" s="84"/>
      <c r="M22" s="103"/>
      <c r="N22" s="207" t="s">
        <v>98</v>
      </c>
      <c r="O22" s="596"/>
      <c r="P22" s="596"/>
      <c r="Q22" s="454"/>
      <c r="R22" s="207" t="s">
        <v>98</v>
      </c>
      <c r="S22" s="209"/>
      <c r="T22" s="386"/>
      <c r="U22" s="84">
        <v>2000</v>
      </c>
      <c r="V22" s="84" t="s">
        <v>93</v>
      </c>
      <c r="AA22" s="408">
        <v>45658</v>
      </c>
      <c r="AB22" s="444">
        <v>0</v>
      </c>
      <c r="AC22" s="455">
        <v>93</v>
      </c>
      <c r="AD22" s="324">
        <v>63</v>
      </c>
    </row>
    <row r="23" spans="1:30" ht="14.25" customHeight="1" x14ac:dyDescent="0.25">
      <c r="AA23" s="413">
        <v>45689</v>
      </c>
      <c r="AB23" s="445">
        <v>0</v>
      </c>
      <c r="AC23" s="275">
        <v>33</v>
      </c>
      <c r="AD23" s="325">
        <v>43</v>
      </c>
    </row>
    <row r="24" spans="1:30" ht="14.25" customHeight="1" x14ac:dyDescent="0.25">
      <c r="A24" s="199" t="s">
        <v>92</v>
      </c>
      <c r="B24" s="196">
        <f>((B21*D21)+(F21*H21))/J22</f>
        <v>89.301000000000002</v>
      </c>
      <c r="C24" s="202" t="s">
        <v>96</v>
      </c>
      <c r="D24" s="84"/>
      <c r="E24" s="199" t="s">
        <v>92</v>
      </c>
      <c r="F24" s="388">
        <f>B24*2000/8760</f>
        <v>20.388356164383563</v>
      </c>
      <c r="G24" s="84" t="s">
        <v>93</v>
      </c>
      <c r="H24" s="84"/>
      <c r="I24" s="84"/>
      <c r="J24" s="84"/>
      <c r="K24" s="84"/>
      <c r="L24" s="199" t="s">
        <v>92</v>
      </c>
      <c r="M24" s="196">
        <f>((M21*O21)+(Q21*S21))/U22</f>
        <v>36.057000000000002</v>
      </c>
      <c r="N24" s="202" t="s">
        <v>96</v>
      </c>
      <c r="O24" s="84"/>
      <c r="P24" s="199" t="s">
        <v>92</v>
      </c>
      <c r="Q24" s="388">
        <f>M24*2000/8760</f>
        <v>8.2321917808219176</v>
      </c>
      <c r="R24" s="84" t="s">
        <v>93</v>
      </c>
      <c r="S24" s="84"/>
      <c r="T24" s="84"/>
      <c r="U24" s="84"/>
      <c r="V24" s="84"/>
      <c r="AA24" s="413">
        <v>45717</v>
      </c>
      <c r="AB24" s="445">
        <v>0</v>
      </c>
      <c r="AC24" s="275">
        <v>62</v>
      </c>
      <c r="AD24" s="325">
        <v>95</v>
      </c>
    </row>
    <row r="25" spans="1:30" ht="14.25" customHeight="1" x14ac:dyDescent="0.25">
      <c r="A25" s="84"/>
      <c r="B25" s="84"/>
      <c r="C25" s="194" t="s">
        <v>97</v>
      </c>
      <c r="D25" s="84"/>
      <c r="E25" s="84"/>
      <c r="F25" s="84"/>
      <c r="G25" s="456" t="s">
        <v>98</v>
      </c>
      <c r="H25" s="84"/>
      <c r="I25" s="84"/>
      <c r="J25" s="84"/>
      <c r="K25" s="84"/>
      <c r="L25" s="84"/>
      <c r="M25" s="84"/>
      <c r="N25" s="194" t="s">
        <v>97</v>
      </c>
      <c r="O25" s="84"/>
      <c r="P25" s="84"/>
      <c r="Q25" s="84"/>
      <c r="R25" s="456" t="s">
        <v>98</v>
      </c>
      <c r="S25" s="84"/>
      <c r="T25" s="84"/>
      <c r="U25" s="84"/>
      <c r="V25" s="84"/>
      <c r="AA25" s="413">
        <v>45748</v>
      </c>
      <c r="AB25" s="445">
        <v>0</v>
      </c>
      <c r="AC25" s="275">
        <v>141</v>
      </c>
      <c r="AD25" s="325">
        <v>158</v>
      </c>
    </row>
    <row r="26" spans="1:30" ht="14.25" customHeight="1" x14ac:dyDescent="0.25">
      <c r="AA26" s="413">
        <v>45778</v>
      </c>
      <c r="AB26" s="445">
        <v>0</v>
      </c>
      <c r="AC26" s="275">
        <v>37</v>
      </c>
      <c r="AD26" s="325">
        <v>23</v>
      </c>
    </row>
    <row r="27" spans="1:30" ht="14.25" customHeight="1" x14ac:dyDescent="0.25">
      <c r="A27" s="597" t="s">
        <v>99</v>
      </c>
      <c r="B27" s="597"/>
      <c r="C27" s="84"/>
      <c r="D27" s="84"/>
      <c r="E27" s="84"/>
      <c r="F27" s="84"/>
      <c r="G27" s="84"/>
      <c r="H27" s="84"/>
      <c r="I27" s="84"/>
      <c r="J27" s="84"/>
      <c r="K27" s="84"/>
      <c r="L27" s="597" t="s">
        <v>99</v>
      </c>
      <c r="M27" s="597"/>
      <c r="N27" s="84"/>
      <c r="O27" s="84"/>
      <c r="P27" s="84"/>
      <c r="Q27" s="84"/>
      <c r="R27" s="84"/>
      <c r="S27" s="84"/>
      <c r="T27" s="84"/>
      <c r="U27" s="84"/>
      <c r="V27" s="84"/>
      <c r="AA27" s="413">
        <v>45809</v>
      </c>
      <c r="AB27" s="445">
        <v>0</v>
      </c>
      <c r="AC27" s="275">
        <v>129</v>
      </c>
      <c r="AD27" s="325">
        <v>0</v>
      </c>
    </row>
    <row r="28" spans="1:30" ht="14.25" customHeight="1" x14ac:dyDescent="0.25">
      <c r="AA28" s="413">
        <v>45839</v>
      </c>
      <c r="AB28" s="445">
        <v>0</v>
      </c>
      <c r="AC28" s="275">
        <v>133</v>
      </c>
      <c r="AD28" s="325">
        <v>0</v>
      </c>
    </row>
    <row r="29" spans="1:30" ht="14.25" customHeight="1" x14ac:dyDescent="0.25">
      <c r="A29" s="199" t="s">
        <v>92</v>
      </c>
      <c r="B29" s="371">
        <v>137</v>
      </c>
      <c r="C29" s="371" t="s">
        <v>93</v>
      </c>
      <c r="D29" s="383">
        <f>B15</f>
        <v>1034</v>
      </c>
      <c r="E29" s="371" t="s">
        <v>333</v>
      </c>
      <c r="F29" s="371">
        <v>137</v>
      </c>
      <c r="G29" s="371" t="s">
        <v>93</v>
      </c>
      <c r="H29" s="453">
        <f>B16</f>
        <v>2468</v>
      </c>
      <c r="I29" s="457" t="s">
        <v>333</v>
      </c>
      <c r="J29" s="371">
        <v>1</v>
      </c>
      <c r="K29" s="452" t="s">
        <v>96</v>
      </c>
      <c r="L29" s="199" t="s">
        <v>92</v>
      </c>
      <c r="M29" s="371">
        <v>137</v>
      </c>
      <c r="N29" s="371" t="s">
        <v>93</v>
      </c>
      <c r="O29" s="383">
        <f>M15</f>
        <v>382</v>
      </c>
      <c r="P29" s="371" t="s">
        <v>333</v>
      </c>
      <c r="Q29" s="371">
        <v>137</v>
      </c>
      <c r="R29" s="371" t="s">
        <v>93</v>
      </c>
      <c r="S29" s="453">
        <f>M16</f>
        <v>1032</v>
      </c>
      <c r="T29" s="457" t="s">
        <v>333</v>
      </c>
      <c r="U29" s="371">
        <v>1</v>
      </c>
      <c r="V29" s="452" t="s">
        <v>96</v>
      </c>
      <c r="AA29" s="413">
        <v>45870</v>
      </c>
      <c r="AB29" s="445">
        <v>0</v>
      </c>
      <c r="AC29" s="275">
        <v>123</v>
      </c>
      <c r="AD29" s="325">
        <v>0</v>
      </c>
    </row>
    <row r="30" spans="1:30" ht="14.25" customHeight="1" x14ac:dyDescent="0.25">
      <c r="A30" s="84"/>
      <c r="B30" s="84"/>
      <c r="C30" s="386" t="s">
        <v>98</v>
      </c>
      <c r="D30" s="596"/>
      <c r="E30" s="596"/>
      <c r="F30" s="456"/>
      <c r="G30" s="386" t="s">
        <v>98</v>
      </c>
      <c r="H30" s="209"/>
      <c r="I30" s="386"/>
      <c r="J30" s="84">
        <v>2000</v>
      </c>
      <c r="K30" s="387" t="s">
        <v>93</v>
      </c>
      <c r="L30" s="84"/>
      <c r="M30" s="84"/>
      <c r="N30" s="386" t="s">
        <v>98</v>
      </c>
      <c r="O30" s="596"/>
      <c r="P30" s="596"/>
      <c r="Q30" s="456"/>
      <c r="R30" s="386" t="s">
        <v>98</v>
      </c>
      <c r="S30" s="209"/>
      <c r="T30" s="386"/>
      <c r="U30" s="84">
        <v>2000</v>
      </c>
      <c r="V30" s="387" t="s">
        <v>93</v>
      </c>
      <c r="AA30" s="413">
        <v>45901</v>
      </c>
      <c r="AB30" s="445">
        <v>0</v>
      </c>
      <c r="AC30" s="275">
        <v>57</v>
      </c>
      <c r="AD30" s="325">
        <v>0</v>
      </c>
    </row>
    <row r="31" spans="1:30" ht="14.25" customHeight="1" x14ac:dyDescent="0.25">
      <c r="AA31" s="413">
        <v>45931</v>
      </c>
      <c r="AB31" s="445">
        <v>0</v>
      </c>
      <c r="AC31" s="275">
        <v>147</v>
      </c>
      <c r="AD31" s="325">
        <v>0</v>
      </c>
    </row>
    <row r="32" spans="1:30" ht="14.25" customHeight="1" x14ac:dyDescent="0.25">
      <c r="A32" s="199" t="s">
        <v>92</v>
      </c>
      <c r="B32" s="196">
        <f>((B29*D29)+(F29*H29))/J30</f>
        <v>239.887</v>
      </c>
      <c r="C32" s="202" t="s">
        <v>96</v>
      </c>
      <c r="D32" s="84"/>
      <c r="E32" s="199" t="s">
        <v>92</v>
      </c>
      <c r="F32" s="388">
        <f>B32*2000/8760</f>
        <v>54.768721461187212</v>
      </c>
      <c r="G32" s="84" t="s">
        <v>93</v>
      </c>
      <c r="H32" s="84"/>
      <c r="I32" s="84"/>
      <c r="J32" s="84"/>
      <c r="K32" s="84"/>
      <c r="L32" s="199" t="s">
        <v>92</v>
      </c>
      <c r="M32" s="196">
        <f>((M29*O29)+(Q29*S29))/U30</f>
        <v>96.858999999999995</v>
      </c>
      <c r="N32" s="202" t="s">
        <v>96</v>
      </c>
      <c r="O32" s="84"/>
      <c r="P32" s="199" t="s">
        <v>92</v>
      </c>
      <c r="Q32" s="388">
        <f>M32*2000/8760</f>
        <v>22.113926940639271</v>
      </c>
      <c r="R32" s="84" t="s">
        <v>93</v>
      </c>
      <c r="S32" s="84"/>
      <c r="T32" s="84"/>
      <c r="U32" s="84"/>
      <c r="V32" s="84"/>
      <c r="AA32" s="413">
        <v>45962</v>
      </c>
      <c r="AB32" s="445">
        <v>0</v>
      </c>
      <c r="AC32" s="275">
        <v>49</v>
      </c>
      <c r="AD32" s="325">
        <v>0</v>
      </c>
    </row>
    <row r="33" spans="1:30" ht="14.25" customHeight="1" x14ac:dyDescent="0.25">
      <c r="A33" s="84"/>
      <c r="B33" s="84"/>
      <c r="C33" s="194" t="s">
        <v>97</v>
      </c>
      <c r="D33" s="84"/>
      <c r="E33" s="84"/>
      <c r="F33" s="84"/>
      <c r="G33" s="456" t="s">
        <v>98</v>
      </c>
      <c r="H33" s="84"/>
      <c r="I33" s="84"/>
      <c r="J33" s="84"/>
      <c r="K33" s="84"/>
      <c r="L33" s="84"/>
      <c r="M33" s="84"/>
      <c r="N33" s="194" t="s">
        <v>97</v>
      </c>
      <c r="O33" s="84"/>
      <c r="P33" s="84"/>
      <c r="Q33" s="84"/>
      <c r="R33" s="456" t="s">
        <v>98</v>
      </c>
      <c r="S33" s="84"/>
      <c r="T33" s="84"/>
      <c r="U33" s="84"/>
      <c r="V33" s="84"/>
      <c r="AA33" s="415">
        <v>45992</v>
      </c>
      <c r="AB33" s="449">
        <v>0</v>
      </c>
      <c r="AC33" s="458">
        <v>30</v>
      </c>
      <c r="AD33" s="417">
        <v>0</v>
      </c>
    </row>
    <row r="34" spans="1:30" ht="14.25" customHeight="1" x14ac:dyDescent="0.25">
      <c r="A34" s="84"/>
      <c r="B34" s="84"/>
      <c r="C34" s="19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194"/>
      <c r="O34" s="84"/>
      <c r="P34" s="84"/>
      <c r="Q34" s="84"/>
      <c r="R34" s="84"/>
      <c r="S34" s="84"/>
      <c r="T34" s="84"/>
      <c r="U34" s="84"/>
      <c r="V34" s="84"/>
      <c r="AA34" s="451" t="s">
        <v>77</v>
      </c>
      <c r="AB34" s="236">
        <f>SUM(AB28:AB33)</f>
        <v>0</v>
      </c>
      <c r="AC34" s="286">
        <f>SUM(AC22:AC33)</f>
        <v>1034</v>
      </c>
      <c r="AD34" s="289">
        <f>SUM(AD22:AD33)</f>
        <v>382</v>
      </c>
    </row>
    <row r="35" spans="1:30" ht="14.25" customHeight="1" x14ac:dyDescent="0.2">
      <c r="A35" s="84"/>
      <c r="B35" s="84"/>
      <c r="C35" s="19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194"/>
      <c r="O35" s="84"/>
      <c r="P35" s="84"/>
      <c r="Q35" s="84"/>
      <c r="R35" s="84"/>
      <c r="S35" s="84"/>
      <c r="T35" s="84"/>
      <c r="U35" s="84"/>
      <c r="V35" s="84"/>
    </row>
    <row r="36" spans="1:30" ht="14.25" customHeight="1" x14ac:dyDescent="0.2">
      <c r="A36" s="84"/>
      <c r="B36" s="84"/>
      <c r="C36" s="19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194"/>
      <c r="O36" s="84"/>
      <c r="P36" s="84"/>
      <c r="Q36" s="84"/>
      <c r="R36" s="84"/>
      <c r="S36" s="84"/>
      <c r="T36" s="84"/>
      <c r="U36" s="84"/>
      <c r="V36" s="84"/>
    </row>
    <row r="37" spans="1:30" ht="14.25" customHeight="1" x14ac:dyDescent="0.2">
      <c r="A37" s="84"/>
      <c r="B37" s="84"/>
      <c r="C37" s="19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194"/>
      <c r="O37" s="84"/>
      <c r="P37" s="84"/>
      <c r="Q37" s="84"/>
      <c r="R37" s="84"/>
      <c r="S37" s="84"/>
      <c r="T37" s="84"/>
      <c r="U37" s="84"/>
      <c r="V37" s="84"/>
    </row>
    <row r="38" spans="1:30" ht="14.25" customHeight="1" x14ac:dyDescent="0.2">
      <c r="A38" s="574" t="s">
        <v>310</v>
      </c>
      <c r="B38" s="574"/>
      <c r="C38" s="574"/>
      <c r="D38" s="574"/>
      <c r="E38" s="574"/>
      <c r="F38" s="574"/>
      <c r="G38" s="574"/>
      <c r="H38" s="574"/>
      <c r="I38" s="574"/>
      <c r="J38" s="574"/>
      <c r="K38" s="574"/>
      <c r="L38" s="574" t="s">
        <v>311</v>
      </c>
      <c r="M38" s="574"/>
      <c r="N38" s="574"/>
      <c r="O38" s="574"/>
      <c r="P38" s="574"/>
      <c r="Q38" s="574"/>
      <c r="R38" s="574"/>
      <c r="S38" s="574"/>
      <c r="T38" s="574"/>
      <c r="U38" s="574"/>
      <c r="V38" s="574"/>
    </row>
    <row r="40" spans="1:30" ht="14.25" customHeight="1" x14ac:dyDescent="0.2">
      <c r="A40" s="597" t="s">
        <v>101</v>
      </c>
      <c r="B40" s="597"/>
      <c r="C40" s="84"/>
      <c r="D40" s="84"/>
      <c r="E40" s="84"/>
      <c r="F40" s="84"/>
      <c r="G40" s="84"/>
      <c r="H40" s="84"/>
      <c r="I40" s="84"/>
      <c r="J40" s="84"/>
      <c r="K40" s="84"/>
      <c r="L40" s="597" t="s">
        <v>101</v>
      </c>
      <c r="M40" s="597"/>
      <c r="N40" s="84"/>
      <c r="O40" s="84"/>
      <c r="P40" s="84"/>
      <c r="Q40" s="84"/>
      <c r="R40" s="84"/>
      <c r="S40" s="84"/>
      <c r="T40" s="84"/>
      <c r="U40" s="84"/>
      <c r="V40" s="84"/>
    </row>
    <row r="42" spans="1:30" ht="14.25" customHeight="1" x14ac:dyDescent="0.2">
      <c r="A42" s="199" t="s">
        <v>92</v>
      </c>
      <c r="B42" s="459">
        <v>13</v>
      </c>
      <c r="C42" s="371" t="s">
        <v>93</v>
      </c>
      <c r="D42" s="383">
        <f>B15</f>
        <v>1034</v>
      </c>
      <c r="E42" s="371" t="s">
        <v>333</v>
      </c>
      <c r="F42" s="371">
        <v>11</v>
      </c>
      <c r="G42" s="371" t="s">
        <v>93</v>
      </c>
      <c r="H42" s="453">
        <f>B16</f>
        <v>2468</v>
      </c>
      <c r="I42" s="457" t="s">
        <v>333</v>
      </c>
      <c r="J42">
        <v>1</v>
      </c>
      <c r="K42" s="460" t="s">
        <v>96</v>
      </c>
      <c r="L42" s="199" t="s">
        <v>92</v>
      </c>
      <c r="M42" s="459">
        <v>13</v>
      </c>
      <c r="N42" s="371" t="s">
        <v>93</v>
      </c>
      <c r="O42" s="383">
        <f>M15</f>
        <v>382</v>
      </c>
      <c r="P42" s="371" t="s">
        <v>333</v>
      </c>
      <c r="Q42" s="371">
        <v>11</v>
      </c>
      <c r="R42" s="371" t="s">
        <v>93</v>
      </c>
      <c r="S42" s="453">
        <f>M16</f>
        <v>1032</v>
      </c>
      <c r="T42" s="457" t="s">
        <v>333</v>
      </c>
      <c r="U42">
        <v>1</v>
      </c>
      <c r="V42" s="460" t="s">
        <v>96</v>
      </c>
    </row>
    <row r="43" spans="1:30" ht="14.25" customHeight="1" x14ac:dyDescent="0.2">
      <c r="A43" s="84"/>
      <c r="B43" s="84"/>
      <c r="C43" s="386" t="s">
        <v>98</v>
      </c>
      <c r="D43" s="596"/>
      <c r="E43" s="596"/>
      <c r="F43" s="456"/>
      <c r="G43" s="386" t="s">
        <v>98</v>
      </c>
      <c r="H43" s="209"/>
      <c r="I43" s="386"/>
      <c r="J43" s="461">
        <v>2000</v>
      </c>
      <c r="K43" s="386" t="s">
        <v>93</v>
      </c>
      <c r="L43" s="84"/>
      <c r="M43" s="84"/>
      <c r="N43" s="386" t="s">
        <v>98</v>
      </c>
      <c r="O43" s="596"/>
      <c r="P43" s="596"/>
      <c r="Q43" s="456"/>
      <c r="R43" s="386" t="s">
        <v>98</v>
      </c>
      <c r="S43" s="209"/>
      <c r="T43" s="386"/>
      <c r="U43" s="461">
        <v>2000</v>
      </c>
      <c r="V43" s="386" t="s">
        <v>93</v>
      </c>
    </row>
    <row r="45" spans="1:30" ht="14.25" customHeight="1" x14ac:dyDescent="0.2">
      <c r="A45" s="199" t="s">
        <v>92</v>
      </c>
      <c r="B45" s="196">
        <f>((B42*D42)+(F42*H42))/J43</f>
        <v>20.295000000000002</v>
      </c>
      <c r="C45" s="202" t="s">
        <v>96</v>
      </c>
      <c r="D45" s="84"/>
      <c r="E45" s="199" t="s">
        <v>92</v>
      </c>
      <c r="F45" s="392">
        <f>B45*2000/8760</f>
        <v>4.6335616438356162</v>
      </c>
      <c r="G45" s="84" t="s">
        <v>93</v>
      </c>
      <c r="H45" s="84"/>
      <c r="I45" s="84"/>
      <c r="J45" s="84"/>
      <c r="K45" s="84"/>
      <c r="L45" s="199" t="s">
        <v>92</v>
      </c>
      <c r="M45" s="196">
        <f>((M42*O42)+(Q42*S42))/U43</f>
        <v>8.1590000000000007</v>
      </c>
      <c r="N45" s="202" t="s">
        <v>96</v>
      </c>
      <c r="O45" s="84"/>
      <c r="P45" s="199" t="s">
        <v>92</v>
      </c>
      <c r="Q45" s="392">
        <f>M45*2000/8760</f>
        <v>1.862785388127854</v>
      </c>
      <c r="R45" s="84" t="s">
        <v>93</v>
      </c>
      <c r="S45" s="84"/>
      <c r="T45" s="84"/>
      <c r="U45" s="84"/>
      <c r="V45" s="84"/>
    </row>
    <row r="46" spans="1:30" ht="14.25" customHeight="1" x14ac:dyDescent="0.2">
      <c r="A46" s="84"/>
      <c r="B46" s="84"/>
      <c r="C46" s="194" t="s">
        <v>97</v>
      </c>
      <c r="D46" s="84"/>
      <c r="E46" s="84"/>
      <c r="F46" s="84"/>
      <c r="G46" s="456" t="s">
        <v>98</v>
      </c>
      <c r="H46" s="84"/>
      <c r="I46" s="84"/>
      <c r="J46" s="84"/>
      <c r="K46" s="84"/>
      <c r="L46" s="84"/>
      <c r="M46" s="84"/>
      <c r="N46" s="194" t="s">
        <v>97</v>
      </c>
      <c r="O46" s="84"/>
      <c r="P46" s="84"/>
      <c r="Q46" s="84"/>
      <c r="R46" s="456" t="s">
        <v>98</v>
      </c>
      <c r="S46" s="84"/>
      <c r="T46" s="84"/>
      <c r="U46" s="84"/>
      <c r="V46" s="84"/>
    </row>
    <row r="48" spans="1:30" ht="14.25" customHeight="1" x14ac:dyDescent="0.2">
      <c r="A48" s="597" t="s">
        <v>103</v>
      </c>
      <c r="B48" s="597"/>
      <c r="C48" s="84"/>
      <c r="D48" s="84"/>
      <c r="E48" s="84"/>
      <c r="F48" s="84"/>
      <c r="G48" s="84"/>
      <c r="H48" s="84"/>
      <c r="I48" s="84"/>
      <c r="J48" s="84"/>
      <c r="K48" s="84"/>
      <c r="L48" s="597" t="s">
        <v>103</v>
      </c>
      <c r="M48" s="597"/>
      <c r="N48" s="84"/>
      <c r="O48" s="84"/>
      <c r="P48" s="84"/>
      <c r="Q48" s="84"/>
      <c r="R48" s="84"/>
      <c r="S48" s="84"/>
      <c r="T48" s="84"/>
      <c r="U48" s="84"/>
      <c r="V48" s="84"/>
    </row>
    <row r="50" spans="1:22" ht="14.25" customHeight="1" x14ac:dyDescent="0.2">
      <c r="A50" s="199" t="s">
        <v>92</v>
      </c>
      <c r="B50" s="371">
        <v>2.3E-2</v>
      </c>
      <c r="C50" s="371" t="s">
        <v>93</v>
      </c>
      <c r="D50" s="383">
        <f>B15</f>
        <v>1034</v>
      </c>
      <c r="E50" s="371" t="s">
        <v>333</v>
      </c>
      <c r="F50" s="371">
        <v>1.6E-2</v>
      </c>
      <c r="G50" s="371" t="s">
        <v>93</v>
      </c>
      <c r="H50" s="453">
        <f>B16</f>
        <v>2468</v>
      </c>
      <c r="I50" s="457" t="s">
        <v>333</v>
      </c>
      <c r="J50" s="371">
        <v>1</v>
      </c>
      <c r="K50" s="452" t="s">
        <v>96</v>
      </c>
      <c r="L50" s="199" t="s">
        <v>92</v>
      </c>
      <c r="M50" s="371">
        <v>2.3E-2</v>
      </c>
      <c r="N50" s="371" t="s">
        <v>93</v>
      </c>
      <c r="O50" s="383">
        <f>M15</f>
        <v>382</v>
      </c>
      <c r="P50" s="371" t="s">
        <v>333</v>
      </c>
      <c r="Q50" s="371">
        <v>1.6E-2</v>
      </c>
      <c r="R50" s="371" t="s">
        <v>93</v>
      </c>
      <c r="S50" s="453">
        <f>M16</f>
        <v>1032</v>
      </c>
      <c r="T50" s="457" t="s">
        <v>333</v>
      </c>
      <c r="U50" s="371">
        <v>1</v>
      </c>
      <c r="V50" s="452" t="s">
        <v>96</v>
      </c>
    </row>
    <row r="51" spans="1:22" ht="14.25" customHeight="1" x14ac:dyDescent="0.2">
      <c r="A51" s="84"/>
      <c r="B51" s="84"/>
      <c r="C51" s="386" t="s">
        <v>98</v>
      </c>
      <c r="D51" s="596"/>
      <c r="E51" s="596"/>
      <c r="F51" s="456"/>
      <c r="G51" s="386" t="s">
        <v>98</v>
      </c>
      <c r="H51" s="209"/>
      <c r="I51" s="386"/>
      <c r="J51" s="84">
        <v>2000</v>
      </c>
      <c r="K51" s="387" t="s">
        <v>93</v>
      </c>
      <c r="L51" s="84"/>
      <c r="M51" s="84"/>
      <c r="N51" s="386" t="s">
        <v>98</v>
      </c>
      <c r="O51" s="596"/>
      <c r="P51" s="596"/>
      <c r="Q51" s="456"/>
      <c r="R51" s="386" t="s">
        <v>98</v>
      </c>
      <c r="S51" s="209"/>
      <c r="T51" s="386"/>
      <c r="U51" s="84">
        <v>2000</v>
      </c>
      <c r="V51" s="387" t="s">
        <v>93</v>
      </c>
    </row>
    <row r="53" spans="1:22" ht="14.25" customHeight="1" x14ac:dyDescent="0.2">
      <c r="A53" s="199" t="s">
        <v>92</v>
      </c>
      <c r="B53" s="196">
        <f>((B50*D50)+(F50*H50))/J51</f>
        <v>3.1634999999999996E-2</v>
      </c>
      <c r="C53" s="202" t="s">
        <v>96</v>
      </c>
      <c r="D53" s="84"/>
      <c r="E53" s="199" t="s">
        <v>92</v>
      </c>
      <c r="F53" s="462">
        <f>B53*2000/8760</f>
        <v>7.2226027397260268E-3</v>
      </c>
      <c r="G53" s="84" t="s">
        <v>93</v>
      </c>
      <c r="H53" s="84"/>
      <c r="I53" s="84"/>
      <c r="J53" s="84"/>
      <c r="K53" s="84"/>
      <c r="L53" s="199" t="s">
        <v>92</v>
      </c>
      <c r="M53" s="196">
        <f>((M50*O50)+(Q50*S50))/U51</f>
        <v>1.2649000000000001E-2</v>
      </c>
      <c r="N53" s="202" t="s">
        <v>96</v>
      </c>
      <c r="O53" s="84"/>
      <c r="P53" s="199" t="s">
        <v>92</v>
      </c>
      <c r="Q53" s="462">
        <f>M53*2000/8760</f>
        <v>2.8878995433789956E-3</v>
      </c>
      <c r="R53" s="84" t="s">
        <v>93</v>
      </c>
      <c r="S53" s="84"/>
      <c r="T53" s="84"/>
      <c r="U53" s="84"/>
      <c r="V53" s="84"/>
    </row>
    <row r="54" spans="1:22" ht="14.25" customHeight="1" x14ac:dyDescent="0.2">
      <c r="A54" s="84"/>
      <c r="B54" s="84"/>
      <c r="C54" s="194" t="s">
        <v>97</v>
      </c>
      <c r="D54" s="84"/>
      <c r="E54" s="84"/>
      <c r="F54" s="84"/>
      <c r="G54" s="456" t="s">
        <v>98</v>
      </c>
      <c r="H54" s="84"/>
      <c r="I54" s="84"/>
      <c r="J54" s="84"/>
      <c r="K54" s="84"/>
      <c r="L54" s="84"/>
      <c r="M54" s="84"/>
      <c r="N54" s="194" t="s">
        <v>97</v>
      </c>
      <c r="O54" s="84"/>
      <c r="P54" s="84"/>
      <c r="Q54" s="84"/>
      <c r="R54" s="456" t="s">
        <v>98</v>
      </c>
      <c r="S54" s="84"/>
      <c r="T54" s="84"/>
      <c r="U54" s="84"/>
      <c r="V54" s="84"/>
    </row>
    <row r="56" spans="1:22" ht="14.25" customHeight="1" x14ac:dyDescent="0.2">
      <c r="A56" s="84"/>
      <c r="B56" s="84"/>
      <c r="C56" s="194"/>
      <c r="D56" s="84"/>
      <c r="E56" s="84"/>
      <c r="F56" s="194"/>
      <c r="G56" s="84"/>
      <c r="H56" s="84"/>
      <c r="I56" s="84"/>
    </row>
    <row r="58" spans="1:22" ht="14.25" customHeight="1" x14ac:dyDescent="0.2">
      <c r="A58" s="463" t="s">
        <v>24</v>
      </c>
      <c r="B58" s="464" t="s">
        <v>242</v>
      </c>
      <c r="C58" s="588" t="s">
        <v>241</v>
      </c>
      <c r="D58" s="588"/>
      <c r="L58" s="463" t="s">
        <v>24</v>
      </c>
      <c r="M58" s="464" t="s">
        <v>242</v>
      </c>
      <c r="N58" s="588" t="s">
        <v>241</v>
      </c>
      <c r="O58" s="588"/>
    </row>
    <row r="59" spans="1:22" ht="14.25" customHeight="1" x14ac:dyDescent="0.2">
      <c r="A59" s="195"/>
      <c r="B59" s="84"/>
      <c r="C59" s="84"/>
      <c r="L59" s="195"/>
      <c r="M59" s="84"/>
      <c r="N59" s="84"/>
    </row>
    <row r="60" spans="1:22" ht="14.25" customHeight="1" x14ac:dyDescent="0.2">
      <c r="A60" s="84" t="s">
        <v>104</v>
      </c>
      <c r="B60" s="84"/>
      <c r="C60" s="84"/>
      <c r="D60" s="84"/>
      <c r="E60" s="84"/>
      <c r="F60" s="84"/>
      <c r="G60" s="84"/>
      <c r="H60" s="84"/>
      <c r="I60" s="84"/>
      <c r="L60" s="84" t="s">
        <v>104</v>
      </c>
      <c r="M60" s="84"/>
      <c r="N60" s="84"/>
      <c r="O60" s="84"/>
      <c r="P60" s="84"/>
      <c r="Q60" s="84"/>
      <c r="R60" s="84"/>
      <c r="S60" s="84"/>
      <c r="T60" s="84"/>
    </row>
    <row r="62" spans="1:22" ht="14.25" customHeight="1" x14ac:dyDescent="0.2">
      <c r="A62" s="199" t="s">
        <v>92</v>
      </c>
      <c r="B62" s="465">
        <v>22.577999999999999</v>
      </c>
      <c r="C62" s="371" t="s">
        <v>93</v>
      </c>
      <c r="D62" s="383">
        <f>SUM(B13)</f>
        <v>19995516.66</v>
      </c>
      <c r="E62" s="371" t="s">
        <v>94</v>
      </c>
      <c r="F62" s="558"/>
      <c r="G62" s="384" t="s">
        <v>96</v>
      </c>
      <c r="L62" s="199" t="s">
        <v>92</v>
      </c>
      <c r="M62" s="465">
        <v>22.577999999999999</v>
      </c>
      <c r="N62" s="371" t="s">
        <v>93</v>
      </c>
      <c r="O62" s="383">
        <f>SUM(M13)</f>
        <v>7911258.1799999988</v>
      </c>
      <c r="P62" s="371" t="s">
        <v>94</v>
      </c>
      <c r="Q62" s="558"/>
      <c r="R62" s="384" t="s">
        <v>96</v>
      </c>
    </row>
    <row r="63" spans="1:22" ht="14.25" customHeight="1" x14ac:dyDescent="0.25">
      <c r="A63" s="84"/>
      <c r="B63" s="385"/>
      <c r="C63" s="386" t="s">
        <v>94</v>
      </c>
      <c r="D63" s="561"/>
      <c r="E63" s="193" t="s">
        <v>65</v>
      </c>
      <c r="F63" s="209">
        <v>2000</v>
      </c>
      <c r="G63" s="387" t="s">
        <v>93</v>
      </c>
      <c r="L63" s="84"/>
      <c r="M63" s="385"/>
      <c r="N63" s="386" t="s">
        <v>94</v>
      </c>
      <c r="O63" s="561"/>
      <c r="P63" s="193" t="s">
        <v>65</v>
      </c>
      <c r="Q63" s="209">
        <v>2000</v>
      </c>
      <c r="R63" s="387" t="s">
        <v>93</v>
      </c>
    </row>
    <row r="66" spans="1:20" ht="14.25" customHeight="1" x14ac:dyDescent="0.2">
      <c r="A66" s="199" t="s">
        <v>92</v>
      </c>
      <c r="B66" s="196">
        <f>B62*D62/F63</f>
        <v>225729.38757473999</v>
      </c>
      <c r="C66" s="202" t="s">
        <v>96</v>
      </c>
      <c r="D66" s="199" t="s">
        <v>92</v>
      </c>
      <c r="E66" s="388">
        <f>B66*(2000/8760)</f>
        <v>51536.38985724657</v>
      </c>
      <c r="F66" s="202" t="s">
        <v>93</v>
      </c>
      <c r="G66" s="84"/>
      <c r="H66" s="84"/>
      <c r="I66" s="84"/>
      <c r="L66" s="199" t="s">
        <v>92</v>
      </c>
      <c r="M66" s="196">
        <f>M62*O62/Q63</f>
        <v>89310.193594019976</v>
      </c>
      <c r="N66" s="202" t="s">
        <v>96</v>
      </c>
      <c r="O66" s="199" t="s">
        <v>92</v>
      </c>
      <c r="P66" s="388">
        <f>M66*(2000/8760)</f>
        <v>20390.455158452049</v>
      </c>
      <c r="Q66" s="202" t="s">
        <v>93</v>
      </c>
      <c r="R66" s="84"/>
      <c r="S66" s="84"/>
      <c r="T66" s="84"/>
    </row>
    <row r="67" spans="1:20" ht="14.25" customHeight="1" x14ac:dyDescent="0.2">
      <c r="A67" s="84"/>
      <c r="B67" s="84"/>
      <c r="C67" s="194" t="s">
        <v>65</v>
      </c>
      <c r="D67" s="84"/>
      <c r="E67" s="84"/>
      <c r="F67" s="194" t="s">
        <v>98</v>
      </c>
      <c r="G67" s="84"/>
      <c r="H67" s="84"/>
      <c r="I67" s="84"/>
      <c r="L67" s="84"/>
      <c r="M67" s="84"/>
      <c r="N67" s="194" t="s">
        <v>65</v>
      </c>
      <c r="O67" s="84"/>
      <c r="P67" s="84"/>
      <c r="Q67" s="194" t="s">
        <v>98</v>
      </c>
      <c r="R67" s="84"/>
      <c r="S67" s="84"/>
      <c r="T67" s="84"/>
    </row>
  </sheetData>
  <mergeCells count="20">
    <mergeCell ref="C58:D58"/>
    <mergeCell ref="N58:O58"/>
    <mergeCell ref="D43:E43"/>
    <mergeCell ref="O43:P43"/>
    <mergeCell ref="A48:B48"/>
    <mergeCell ref="L48:M48"/>
    <mergeCell ref="D51:E51"/>
    <mergeCell ref="O51:P51"/>
    <mergeCell ref="D30:E30"/>
    <mergeCell ref="O30:P30"/>
    <mergeCell ref="A38:K38"/>
    <mergeCell ref="L38:V38"/>
    <mergeCell ref="A40:B40"/>
    <mergeCell ref="L40:M40"/>
    <mergeCell ref="A2:K2"/>
    <mergeCell ref="L2:V2"/>
    <mergeCell ref="D22:E22"/>
    <mergeCell ref="O22:P22"/>
    <mergeCell ref="A27:B27"/>
    <mergeCell ref="L27:M2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P20"/>
  <sheetViews>
    <sheetView zoomScaleNormal="100" workbookViewId="0">
      <selection activeCell="L24" sqref="L24"/>
    </sheetView>
  </sheetViews>
  <sheetFormatPr defaultColWidth="8.7109375" defaultRowHeight="12.75" x14ac:dyDescent="0.2"/>
  <cols>
    <col min="2" max="2" width="12.140625" customWidth="1"/>
    <col min="3" max="3" width="11.42578125" customWidth="1"/>
    <col min="4" max="4" width="10.7109375" customWidth="1"/>
    <col min="10" max="10" width="17.85546875" customWidth="1"/>
    <col min="11" max="13" width="14.85546875" customWidth="1"/>
    <col min="14" max="15" width="13.7109375" customWidth="1"/>
    <col min="16" max="16" width="14.140625" customWidth="1"/>
  </cols>
  <sheetData>
    <row r="2" spans="2:16" ht="15" customHeight="1" x14ac:dyDescent="0.2">
      <c r="B2" s="598" t="s">
        <v>334</v>
      </c>
      <c r="C2" s="598"/>
      <c r="D2" s="598"/>
      <c r="J2" s="598" t="s">
        <v>334</v>
      </c>
      <c r="K2" s="598"/>
      <c r="L2" s="598"/>
      <c r="M2" s="598"/>
      <c r="N2" s="598"/>
      <c r="O2" s="598"/>
      <c r="P2" s="598"/>
    </row>
    <row r="3" spans="2:16" ht="14.25" customHeight="1" x14ac:dyDescent="0.2">
      <c r="B3" s="598"/>
      <c r="C3" s="598"/>
      <c r="D3" s="598"/>
      <c r="J3" s="598"/>
      <c r="K3" s="598"/>
      <c r="L3" s="598"/>
      <c r="M3" s="598"/>
      <c r="N3" s="598"/>
      <c r="O3" s="598"/>
      <c r="P3" s="598"/>
    </row>
    <row r="4" spans="2:16" ht="14.25" customHeight="1" x14ac:dyDescent="0.2">
      <c r="B4" s="598"/>
      <c r="C4" s="598"/>
      <c r="D4" s="598"/>
      <c r="J4" s="598"/>
      <c r="K4" s="598"/>
      <c r="L4" s="598"/>
      <c r="M4" s="598"/>
      <c r="N4" s="598"/>
      <c r="O4" s="598"/>
      <c r="P4" s="598"/>
    </row>
    <row r="5" spans="2:16" ht="14.25" customHeight="1" x14ac:dyDescent="0.2">
      <c r="B5" s="466" t="s">
        <v>65</v>
      </c>
      <c r="C5" s="466" t="s">
        <v>335</v>
      </c>
      <c r="D5" s="466" t="s">
        <v>336</v>
      </c>
      <c r="J5" s="466" t="s">
        <v>65</v>
      </c>
      <c r="K5" s="466" t="s">
        <v>337</v>
      </c>
      <c r="L5" s="466" t="s">
        <v>338</v>
      </c>
      <c r="M5" s="466" t="s">
        <v>339</v>
      </c>
      <c r="N5" s="466" t="s">
        <v>340</v>
      </c>
      <c r="O5" s="466" t="s">
        <v>341</v>
      </c>
      <c r="P5" s="466" t="s">
        <v>339</v>
      </c>
    </row>
    <row r="6" spans="2:16" ht="14.25" customHeight="1" x14ac:dyDescent="0.2">
      <c r="B6" s="114" t="s">
        <v>1</v>
      </c>
      <c r="C6" s="467">
        <f t="shared" ref="C6:C17" si="0">M6</f>
        <v>51997.399999999994</v>
      </c>
      <c r="D6" s="467">
        <f t="shared" ref="D6:D17" si="1">P6</f>
        <v>9599</v>
      </c>
      <c r="J6" s="114" t="s">
        <v>1</v>
      </c>
      <c r="K6" s="468">
        <v>20964.3</v>
      </c>
      <c r="L6" s="469">
        <v>31033.1</v>
      </c>
      <c r="M6" s="470">
        <f t="shared" ref="M6:M12" si="2">SUM(K6:L6)</f>
        <v>51997.399999999994</v>
      </c>
      <c r="N6" s="468">
        <v>4511</v>
      </c>
      <c r="O6" s="469">
        <v>5088</v>
      </c>
      <c r="P6" s="470">
        <f t="shared" ref="P6:P17" si="3">SUM(N6:O6)</f>
        <v>9599</v>
      </c>
    </row>
    <row r="7" spans="2:16" ht="14.25" customHeight="1" x14ac:dyDescent="0.2">
      <c r="B7" s="114" t="s">
        <v>2</v>
      </c>
      <c r="C7" s="467">
        <f t="shared" si="0"/>
        <v>50532</v>
      </c>
      <c r="D7" s="467">
        <f t="shared" si="1"/>
        <v>6409</v>
      </c>
      <c r="J7" s="114" t="s">
        <v>2</v>
      </c>
      <c r="K7" s="468">
        <v>24519</v>
      </c>
      <c r="L7" s="468">
        <v>26013</v>
      </c>
      <c r="M7" s="470">
        <f t="shared" si="2"/>
        <v>50532</v>
      </c>
      <c r="N7" s="468">
        <v>2632</v>
      </c>
      <c r="O7" s="468">
        <v>3777</v>
      </c>
      <c r="P7" s="470">
        <f t="shared" si="3"/>
        <v>6409</v>
      </c>
    </row>
    <row r="8" spans="2:16" ht="14.25" customHeight="1" x14ac:dyDescent="0.2">
      <c r="B8" s="114" t="s">
        <v>3</v>
      </c>
      <c r="C8" s="467">
        <f t="shared" si="0"/>
        <v>76822.799999999988</v>
      </c>
      <c r="D8" s="467">
        <f t="shared" si="1"/>
        <v>10507</v>
      </c>
      <c r="J8" s="114" t="s">
        <v>3</v>
      </c>
      <c r="K8" s="468">
        <v>39055.1</v>
      </c>
      <c r="L8" s="468">
        <v>37767.699999999997</v>
      </c>
      <c r="M8" s="470">
        <f t="shared" si="2"/>
        <v>76822.799999999988</v>
      </c>
      <c r="N8" s="468">
        <v>4863</v>
      </c>
      <c r="O8" s="468">
        <v>5644</v>
      </c>
      <c r="P8" s="470">
        <f t="shared" si="3"/>
        <v>10507</v>
      </c>
    </row>
    <row r="9" spans="2:16" ht="14.25" customHeight="1" x14ac:dyDescent="0.2">
      <c r="B9" s="114" t="s">
        <v>4</v>
      </c>
      <c r="C9" s="467">
        <f t="shared" si="0"/>
        <v>82626.8</v>
      </c>
      <c r="D9" s="467">
        <f t="shared" si="1"/>
        <v>9289</v>
      </c>
      <c r="J9" s="114" t="s">
        <v>4</v>
      </c>
      <c r="K9" s="468">
        <v>42801.8</v>
      </c>
      <c r="L9" s="468">
        <v>39825</v>
      </c>
      <c r="M9" s="470">
        <f t="shared" si="2"/>
        <v>82626.8</v>
      </c>
      <c r="N9" s="468">
        <v>3800</v>
      </c>
      <c r="O9" s="468">
        <v>5489</v>
      </c>
      <c r="P9" s="470">
        <f t="shared" si="3"/>
        <v>9289</v>
      </c>
    </row>
    <row r="10" spans="2:16" ht="14.25" customHeight="1" x14ac:dyDescent="0.2">
      <c r="B10" s="114" t="s">
        <v>5</v>
      </c>
      <c r="C10" s="467">
        <f t="shared" si="0"/>
        <v>35985.800000000003</v>
      </c>
      <c r="D10" s="467">
        <f t="shared" si="1"/>
        <v>6406</v>
      </c>
      <c r="J10" s="114" t="s">
        <v>5</v>
      </c>
      <c r="K10" s="468">
        <v>21252.2</v>
      </c>
      <c r="L10" s="468">
        <v>14733.6</v>
      </c>
      <c r="M10" s="470">
        <f t="shared" si="2"/>
        <v>35985.800000000003</v>
      </c>
      <c r="N10" s="468">
        <v>3869</v>
      </c>
      <c r="O10" s="468">
        <v>2537</v>
      </c>
      <c r="P10" s="470">
        <f t="shared" si="3"/>
        <v>6406</v>
      </c>
    </row>
    <row r="11" spans="2:16" ht="14.25" customHeight="1" x14ac:dyDescent="0.2">
      <c r="B11" s="114" t="s">
        <v>6</v>
      </c>
      <c r="C11" s="467">
        <f t="shared" si="0"/>
        <v>31849.3</v>
      </c>
      <c r="D11" s="467">
        <f t="shared" si="1"/>
        <v>4059</v>
      </c>
      <c r="J11" s="114" t="s">
        <v>6</v>
      </c>
      <c r="K11" s="468">
        <v>31849.3</v>
      </c>
      <c r="L11" s="468">
        <v>0</v>
      </c>
      <c r="M11" s="470">
        <f t="shared" si="2"/>
        <v>31849.3</v>
      </c>
      <c r="N11" s="468">
        <v>4059</v>
      </c>
      <c r="O11" s="468">
        <v>0</v>
      </c>
      <c r="P11" s="470">
        <f t="shared" si="3"/>
        <v>4059</v>
      </c>
    </row>
    <row r="12" spans="2:16" ht="14.25" customHeight="1" x14ac:dyDescent="0.2">
      <c r="B12" s="114" t="s">
        <v>7</v>
      </c>
      <c r="C12" s="467">
        <f t="shared" si="0"/>
        <v>31689.5</v>
      </c>
      <c r="D12" s="467">
        <f t="shared" si="1"/>
        <v>3845</v>
      </c>
      <c r="J12" s="114" t="s">
        <v>7</v>
      </c>
      <c r="K12" s="468">
        <v>31689.5</v>
      </c>
      <c r="L12" s="468">
        <v>0</v>
      </c>
      <c r="M12" s="470">
        <f t="shared" si="2"/>
        <v>31689.5</v>
      </c>
      <c r="N12" s="468">
        <v>3845</v>
      </c>
      <c r="O12" s="468">
        <v>0</v>
      </c>
      <c r="P12" s="470">
        <f t="shared" si="3"/>
        <v>3845</v>
      </c>
    </row>
    <row r="13" spans="2:16" ht="14.25" customHeight="1" x14ac:dyDescent="0.2">
      <c r="B13" s="114" t="s">
        <v>8</v>
      </c>
      <c r="C13" s="467">
        <f t="shared" si="0"/>
        <v>34138.300000000003</v>
      </c>
      <c r="D13" s="467">
        <f t="shared" si="1"/>
        <v>3366</v>
      </c>
      <c r="J13" s="114" t="s">
        <v>8</v>
      </c>
      <c r="K13" s="468">
        <v>34138.300000000003</v>
      </c>
      <c r="L13" s="468">
        <v>0</v>
      </c>
      <c r="M13" s="470">
        <f>SUM(K13+L13)</f>
        <v>34138.300000000003</v>
      </c>
      <c r="N13" s="468">
        <v>3366</v>
      </c>
      <c r="O13" s="468">
        <v>0</v>
      </c>
      <c r="P13" s="470">
        <f t="shared" si="3"/>
        <v>3366</v>
      </c>
    </row>
    <row r="14" spans="2:16" ht="14.25" customHeight="1" x14ac:dyDescent="0.2">
      <c r="B14" s="114" t="s">
        <v>9</v>
      </c>
      <c r="C14" s="467">
        <f t="shared" si="0"/>
        <v>21011</v>
      </c>
      <c r="D14" s="467">
        <f t="shared" si="1"/>
        <v>3240</v>
      </c>
      <c r="J14" s="114" t="s">
        <v>9</v>
      </c>
      <c r="K14" s="468">
        <v>21011</v>
      </c>
      <c r="L14" s="468">
        <v>0</v>
      </c>
      <c r="M14" s="470">
        <f>SUM(K14:L14)</f>
        <v>21011</v>
      </c>
      <c r="N14" s="468">
        <v>3240</v>
      </c>
      <c r="O14" s="468">
        <v>0</v>
      </c>
      <c r="P14" s="470">
        <f t="shared" si="3"/>
        <v>3240</v>
      </c>
    </row>
    <row r="15" spans="2:16" ht="14.25" customHeight="1" x14ac:dyDescent="0.2">
      <c r="B15" s="114" t="s">
        <v>10</v>
      </c>
      <c r="C15" s="467">
        <f t="shared" si="0"/>
        <v>39016</v>
      </c>
      <c r="D15" s="467">
        <f t="shared" si="1"/>
        <v>3108</v>
      </c>
      <c r="J15" s="114" t="s">
        <v>10</v>
      </c>
      <c r="K15" s="468">
        <v>39016</v>
      </c>
      <c r="L15" s="469">
        <v>0</v>
      </c>
      <c r="M15" s="470">
        <f>SUM(K15:L15)</f>
        <v>39016</v>
      </c>
      <c r="N15" s="468">
        <v>3108</v>
      </c>
      <c r="O15" s="469">
        <v>0</v>
      </c>
      <c r="P15" s="470">
        <f t="shared" si="3"/>
        <v>3108</v>
      </c>
    </row>
    <row r="16" spans="2:16" ht="14.25" customHeight="1" x14ac:dyDescent="0.2">
      <c r="B16" s="114" t="s">
        <v>11</v>
      </c>
      <c r="C16" s="467">
        <f t="shared" si="0"/>
        <v>20626.5</v>
      </c>
      <c r="D16" s="467">
        <f t="shared" si="1"/>
        <v>3460</v>
      </c>
      <c r="J16" s="114" t="s">
        <v>11</v>
      </c>
      <c r="K16" s="468">
        <v>20626.5</v>
      </c>
      <c r="L16" s="468">
        <v>0</v>
      </c>
      <c r="M16" s="470">
        <f>SUM(K16:L16)</f>
        <v>20626.5</v>
      </c>
      <c r="N16" s="468">
        <v>3460</v>
      </c>
      <c r="O16" s="468">
        <v>0</v>
      </c>
      <c r="P16" s="470">
        <f t="shared" si="3"/>
        <v>3460</v>
      </c>
    </row>
    <row r="17" spans="2:16" ht="14.25" customHeight="1" x14ac:dyDescent="0.2">
      <c r="B17" s="114" t="s">
        <v>12</v>
      </c>
      <c r="C17" s="467">
        <f t="shared" si="0"/>
        <v>10624.3</v>
      </c>
      <c r="D17" s="467">
        <f t="shared" si="1"/>
        <v>2285</v>
      </c>
      <c r="J17" s="114" t="s">
        <v>12</v>
      </c>
      <c r="K17" s="468">
        <v>10624.3</v>
      </c>
      <c r="L17" s="468">
        <v>0</v>
      </c>
      <c r="M17" s="470">
        <f>SUM(K17:L17)</f>
        <v>10624.3</v>
      </c>
      <c r="N17" s="468">
        <v>2285</v>
      </c>
      <c r="O17" s="468">
        <v>0</v>
      </c>
      <c r="P17" s="470">
        <f t="shared" si="3"/>
        <v>2285</v>
      </c>
    </row>
    <row r="18" spans="2:16" ht="14.25" customHeight="1" x14ac:dyDescent="0.2">
      <c r="B18" s="466" t="s">
        <v>342</v>
      </c>
      <c r="C18" s="471">
        <f>SUM(C6:C17)</f>
        <v>486919.69999999995</v>
      </c>
      <c r="D18" s="471">
        <f>SUM(D6:D17)</f>
        <v>65573</v>
      </c>
      <c r="J18" s="466" t="s">
        <v>342</v>
      </c>
      <c r="K18" s="471">
        <f t="shared" ref="K18:P18" si="4">SUM(K6:K17)</f>
        <v>337547.3</v>
      </c>
      <c r="L18" s="471">
        <f t="shared" si="4"/>
        <v>149372.4</v>
      </c>
      <c r="M18" s="471">
        <f t="shared" si="4"/>
        <v>486919.69999999995</v>
      </c>
      <c r="N18" s="471">
        <f t="shared" si="4"/>
        <v>43038</v>
      </c>
      <c r="O18" s="471">
        <f t="shared" si="4"/>
        <v>22535</v>
      </c>
      <c r="P18" s="471">
        <f t="shared" si="4"/>
        <v>65573</v>
      </c>
    </row>
    <row r="19" spans="2:16" ht="14.25" customHeight="1" x14ac:dyDescent="0.2">
      <c r="B19" s="472" t="s">
        <v>343</v>
      </c>
      <c r="C19" s="473">
        <f>C18/2000</f>
        <v>243.45984999999999</v>
      </c>
      <c r="D19" s="473">
        <f>D18/2000</f>
        <v>32.786499999999997</v>
      </c>
      <c r="J19" s="472" t="s">
        <v>343</v>
      </c>
      <c r="K19" s="473">
        <f t="shared" ref="K19:P19" si="5">K18/2000</f>
        <v>168.77365</v>
      </c>
      <c r="L19" s="473">
        <f t="shared" si="5"/>
        <v>74.686199999999999</v>
      </c>
      <c r="M19" s="473">
        <f t="shared" si="5"/>
        <v>243.45984999999999</v>
      </c>
      <c r="N19" s="473">
        <f t="shared" si="5"/>
        <v>21.518999999999998</v>
      </c>
      <c r="O19" s="473">
        <f t="shared" si="5"/>
        <v>11.2675</v>
      </c>
      <c r="P19" s="473">
        <f t="shared" si="5"/>
        <v>32.786499999999997</v>
      </c>
    </row>
    <row r="20" spans="2:16" ht="14.25" customHeight="1" x14ac:dyDescent="0.25">
      <c r="J20" s="466" t="s">
        <v>344</v>
      </c>
      <c r="K20" s="599">
        <f>SUM(K19:L19)</f>
        <v>243.45985000000002</v>
      </c>
      <c r="L20" s="599"/>
      <c r="M20" s="474"/>
      <c r="N20" s="599">
        <f>SUM(N19:O19)</f>
        <v>32.786499999999997</v>
      </c>
      <c r="O20" s="599"/>
      <c r="P20" s="564"/>
    </row>
  </sheetData>
  <mergeCells count="4">
    <mergeCell ref="B2:D4"/>
    <mergeCell ref="J2:P4"/>
    <mergeCell ref="K20:L20"/>
    <mergeCell ref="N20:O2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AA82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1" width="10.7109375" customWidth="1"/>
    <col min="2" max="2" width="17.5703125" customWidth="1"/>
    <col min="3" max="3" width="7.85546875" customWidth="1"/>
    <col min="4" max="4" width="11.7109375" customWidth="1"/>
    <col min="5" max="5" width="9.7109375" customWidth="1"/>
    <col min="6" max="6" width="6.7109375" customWidth="1"/>
    <col min="8" max="8" width="6.140625" customWidth="1"/>
    <col min="11" max="11" width="10.85546875" customWidth="1"/>
    <col min="12" max="12" width="17.5703125" customWidth="1"/>
    <col min="14" max="14" width="11.7109375" customWidth="1"/>
    <col min="24" max="24" width="20.140625" customWidth="1"/>
  </cols>
  <sheetData>
    <row r="2" spans="1:27" ht="14.25" customHeight="1" x14ac:dyDescent="0.2">
      <c r="A2" s="571" t="s">
        <v>345</v>
      </c>
      <c r="B2" s="571"/>
      <c r="C2" s="571"/>
      <c r="D2" s="571"/>
      <c r="E2" s="571"/>
      <c r="F2" s="571"/>
      <c r="G2" s="571"/>
      <c r="H2" s="571"/>
      <c r="I2" s="571"/>
      <c r="J2" s="571"/>
      <c r="K2" s="571" t="s">
        <v>346</v>
      </c>
      <c r="L2" s="571"/>
      <c r="M2" s="571"/>
      <c r="N2" s="571"/>
      <c r="O2" s="571"/>
      <c r="P2" s="571"/>
      <c r="Q2" s="571"/>
      <c r="R2" s="571"/>
      <c r="S2" s="571"/>
      <c r="T2" s="571"/>
    </row>
    <row r="3" spans="1:27" ht="14.25" customHeight="1" x14ac:dyDescent="0.25">
      <c r="AA3" s="442"/>
    </row>
    <row r="4" spans="1:27" ht="14.25" customHeight="1" x14ac:dyDescent="0.2">
      <c r="A4" s="588" t="s">
        <v>79</v>
      </c>
      <c r="B4" s="588"/>
      <c r="C4" s="84"/>
      <c r="D4" s="84"/>
      <c r="E4" s="84"/>
      <c r="F4" s="84"/>
      <c r="G4" s="84"/>
      <c r="H4" s="84"/>
      <c r="I4" s="84"/>
      <c r="J4" s="84"/>
      <c r="K4" s="588" t="s">
        <v>79</v>
      </c>
      <c r="L4" s="588"/>
      <c r="M4" s="84"/>
      <c r="N4" s="84"/>
      <c r="O4" s="84"/>
      <c r="P4" s="84"/>
      <c r="Q4" s="84"/>
      <c r="R4" s="84"/>
      <c r="S4" s="84"/>
      <c r="T4" s="84"/>
    </row>
    <row r="5" spans="1:27" ht="14.25" customHeight="1" x14ac:dyDescent="0.25">
      <c r="A5" s="475" t="s">
        <v>17</v>
      </c>
      <c r="B5" s="476" t="s">
        <v>347</v>
      </c>
      <c r="C5" s="84"/>
      <c r="D5" s="84"/>
      <c r="E5" s="84"/>
      <c r="F5" s="84"/>
      <c r="G5" s="84"/>
      <c r="H5" s="84"/>
      <c r="I5" s="84"/>
      <c r="J5" s="84"/>
      <c r="K5" s="475" t="s">
        <v>17</v>
      </c>
      <c r="L5" s="476" t="s">
        <v>347</v>
      </c>
      <c r="M5" s="84"/>
      <c r="N5" s="84"/>
      <c r="O5" s="84"/>
      <c r="P5" s="84"/>
      <c r="Q5" s="84"/>
      <c r="R5" s="84"/>
      <c r="S5" s="84"/>
      <c r="T5" s="84"/>
      <c r="AA5" s="322"/>
    </row>
    <row r="6" spans="1:27" ht="14.25" customHeight="1" x14ac:dyDescent="0.25">
      <c r="A6" s="477" t="s">
        <v>41</v>
      </c>
      <c r="B6" s="478" t="s">
        <v>81</v>
      </c>
      <c r="C6" s="84"/>
      <c r="D6" s="84"/>
      <c r="E6" s="84"/>
      <c r="F6" s="84"/>
      <c r="G6" s="84"/>
      <c r="H6" s="84"/>
      <c r="I6" s="84"/>
      <c r="J6" s="84"/>
      <c r="K6" s="477" t="s">
        <v>41</v>
      </c>
      <c r="L6" s="478" t="s">
        <v>81</v>
      </c>
      <c r="M6" s="84"/>
      <c r="N6" s="84"/>
      <c r="O6" s="84"/>
      <c r="P6" s="84"/>
      <c r="Q6" s="84"/>
      <c r="R6" s="84"/>
      <c r="S6" s="84"/>
      <c r="T6" s="84"/>
      <c r="AA6" s="322"/>
    </row>
    <row r="7" spans="1:27" ht="14.25" customHeight="1" x14ac:dyDescent="0.25">
      <c r="A7" s="477" t="s">
        <v>20</v>
      </c>
      <c r="B7" s="478" t="s">
        <v>272</v>
      </c>
      <c r="C7" s="84"/>
      <c r="D7" s="84"/>
      <c r="E7" s="84"/>
      <c r="F7" s="84"/>
      <c r="G7" s="84"/>
      <c r="H7" s="84"/>
      <c r="I7" s="84"/>
      <c r="J7" s="84"/>
      <c r="K7" s="477" t="s">
        <v>20</v>
      </c>
      <c r="L7" s="478" t="s">
        <v>272</v>
      </c>
      <c r="M7" s="84"/>
      <c r="N7" s="84"/>
      <c r="O7" s="84"/>
      <c r="P7" s="84"/>
      <c r="Q7" s="84"/>
      <c r="R7" s="84"/>
      <c r="S7" s="84"/>
      <c r="T7" s="84"/>
      <c r="AA7" s="322"/>
    </row>
    <row r="8" spans="1:27" ht="14.25" customHeight="1" x14ac:dyDescent="0.25">
      <c r="A8" s="477" t="s">
        <v>22</v>
      </c>
      <c r="B8" s="478" t="s">
        <v>83</v>
      </c>
      <c r="C8" s="84"/>
      <c r="D8" s="84"/>
      <c r="E8" s="84"/>
      <c r="F8" s="84"/>
      <c r="G8" s="84"/>
      <c r="H8" s="84"/>
      <c r="I8" s="84"/>
      <c r="J8" s="84"/>
      <c r="K8" s="477" t="s">
        <v>22</v>
      </c>
      <c r="L8" s="478" t="s">
        <v>83</v>
      </c>
      <c r="M8" s="84"/>
      <c r="N8" s="84"/>
      <c r="O8" s="84"/>
      <c r="P8" s="84"/>
      <c r="Q8" s="84"/>
      <c r="R8" s="84"/>
      <c r="S8" s="84"/>
      <c r="T8" s="84"/>
      <c r="AA8" s="322"/>
    </row>
    <row r="9" spans="1:27" ht="14.25" customHeight="1" x14ac:dyDescent="0.25">
      <c r="A9" s="477" t="s">
        <v>84</v>
      </c>
      <c r="B9" s="478" t="s">
        <v>85</v>
      </c>
      <c r="C9" s="84"/>
      <c r="D9" s="84"/>
      <c r="E9" s="84"/>
      <c r="F9" s="84"/>
      <c r="G9" s="84"/>
      <c r="H9" s="84"/>
      <c r="I9" s="84"/>
      <c r="J9" s="84"/>
      <c r="K9" s="477" t="s">
        <v>84</v>
      </c>
      <c r="L9" s="478" t="s">
        <v>85</v>
      </c>
      <c r="M9" s="84"/>
      <c r="N9" s="84"/>
      <c r="O9" s="84"/>
      <c r="P9" s="84"/>
      <c r="Q9" s="84"/>
      <c r="R9" s="84"/>
      <c r="S9" s="84"/>
      <c r="T9" s="84"/>
      <c r="AA9" s="322"/>
    </row>
    <row r="10" spans="1:27" ht="14.25" customHeight="1" x14ac:dyDescent="0.25">
      <c r="A10" s="479" t="s">
        <v>23</v>
      </c>
      <c r="B10" s="480" t="s">
        <v>275</v>
      </c>
      <c r="C10" s="84"/>
      <c r="D10" s="84"/>
      <c r="E10" s="84"/>
      <c r="F10" s="84"/>
      <c r="G10" s="84"/>
      <c r="H10" s="84"/>
      <c r="I10" s="84"/>
      <c r="J10" s="84"/>
      <c r="K10" s="479" t="s">
        <v>23</v>
      </c>
      <c r="L10" s="480" t="s">
        <v>275</v>
      </c>
      <c r="M10" s="84"/>
      <c r="N10" s="84"/>
      <c r="O10" s="84"/>
      <c r="P10" s="84"/>
      <c r="Q10" s="84"/>
      <c r="R10" s="84"/>
      <c r="S10" s="84"/>
      <c r="T10" s="84"/>
      <c r="AA10" s="389"/>
    </row>
    <row r="11" spans="1:27" ht="14.25" customHeight="1" x14ac:dyDescent="0.2">
      <c r="A11" s="463" t="s">
        <v>24</v>
      </c>
      <c r="B11" s="464" t="s">
        <v>242</v>
      </c>
      <c r="C11" s="377" t="s">
        <v>241</v>
      </c>
      <c r="D11" s="84"/>
      <c r="E11" s="84"/>
      <c r="F11" s="84"/>
      <c r="G11" s="84"/>
      <c r="H11" s="84"/>
      <c r="I11" s="84"/>
      <c r="K11" s="463" t="s">
        <v>24</v>
      </c>
      <c r="L11" s="464" t="s">
        <v>242</v>
      </c>
      <c r="M11" s="377" t="s">
        <v>241</v>
      </c>
    </row>
    <row r="12" spans="1:27" ht="14.25" customHeight="1" x14ac:dyDescent="0.25">
      <c r="AA12" s="389"/>
    </row>
    <row r="13" spans="1:27" ht="14.25" customHeight="1" x14ac:dyDescent="0.25">
      <c r="A13" s="84" t="s">
        <v>326</v>
      </c>
      <c r="B13" s="156">
        <f>SUM(Turbinas!F19)</f>
        <v>4163395.32</v>
      </c>
      <c r="C13" s="84" t="s">
        <v>348</v>
      </c>
      <c r="D13" s="84"/>
      <c r="E13" s="481"/>
      <c r="F13" s="84"/>
      <c r="G13" s="84"/>
      <c r="H13" s="84"/>
      <c r="I13" s="84"/>
      <c r="J13" s="84"/>
      <c r="K13" s="84" t="s">
        <v>326</v>
      </c>
      <c r="L13" s="156">
        <f>SUM(Turbinas!G19)</f>
        <v>2374532.58</v>
      </c>
      <c r="M13" s="84" t="s">
        <v>348</v>
      </c>
      <c r="N13" s="84"/>
      <c r="O13" s="481"/>
      <c r="P13" s="84"/>
      <c r="Q13" s="84"/>
      <c r="R13" s="84"/>
      <c r="S13" s="84"/>
      <c r="T13" s="84"/>
      <c r="AA13" s="389"/>
    </row>
    <row r="14" spans="1:27" ht="14.25" customHeight="1" x14ac:dyDescent="0.25">
      <c r="A14" s="84" t="s">
        <v>90</v>
      </c>
      <c r="B14" s="156">
        <f>Turbinas!U17</f>
        <v>0.01</v>
      </c>
      <c r="C14" s="84"/>
      <c r="D14" s="84"/>
      <c r="E14" s="84"/>
      <c r="F14" s="84"/>
      <c r="G14" s="84"/>
      <c r="H14" s="84"/>
      <c r="I14" s="84"/>
      <c r="J14" s="84"/>
      <c r="K14" s="84" t="s">
        <v>90</v>
      </c>
      <c r="L14" s="156">
        <f>Turbinas!V17</f>
        <v>0.01</v>
      </c>
      <c r="M14" s="84"/>
      <c r="N14" s="84"/>
      <c r="O14" s="84"/>
      <c r="P14" s="84"/>
      <c r="Q14" s="84"/>
      <c r="R14" s="84"/>
      <c r="S14" s="84"/>
      <c r="T14" s="84"/>
      <c r="V14">
        <f>(73.96+0.003*25+0.0006*298)*2.2046*0.138</f>
        <v>22.578420600240001</v>
      </c>
      <c r="W14" t="s">
        <v>119</v>
      </c>
      <c r="AA14" s="389"/>
    </row>
    <row r="15" spans="1:27" ht="14.25" customHeight="1" x14ac:dyDescent="0.25">
      <c r="AA15" s="389"/>
    </row>
    <row r="16" spans="1:27" ht="14.25" customHeight="1" x14ac:dyDescent="0.25">
      <c r="AA16" s="389"/>
    </row>
    <row r="17" spans="1:27" ht="14.25" customHeight="1" x14ac:dyDescent="0.25">
      <c r="A17" s="84" t="s">
        <v>91</v>
      </c>
      <c r="B17" s="84"/>
      <c r="C17" s="84"/>
      <c r="D17" s="84"/>
      <c r="E17" s="84"/>
      <c r="F17" s="84"/>
      <c r="G17" s="84"/>
      <c r="H17" s="84"/>
      <c r="I17" s="84"/>
      <c r="J17" s="84"/>
      <c r="K17" s="84" t="s">
        <v>91</v>
      </c>
      <c r="L17" s="84"/>
      <c r="M17" s="84"/>
      <c r="N17" s="84"/>
      <c r="O17" s="84"/>
      <c r="P17" s="84"/>
      <c r="Q17" s="84"/>
      <c r="R17" s="84"/>
      <c r="S17" s="84"/>
      <c r="T17" s="84"/>
      <c r="AA17" s="442"/>
    </row>
    <row r="19" spans="1:27" ht="14.25" customHeight="1" x14ac:dyDescent="0.2">
      <c r="A19" s="199" t="s">
        <v>92</v>
      </c>
      <c r="B19" s="382">
        <v>1.2E-2</v>
      </c>
      <c r="C19" s="371" t="s">
        <v>93</v>
      </c>
      <c r="D19" s="381">
        <f>B13</f>
        <v>4163395.32</v>
      </c>
      <c r="E19" s="371" t="s">
        <v>349</v>
      </c>
      <c r="F19" s="382">
        <v>0.13800000000000001</v>
      </c>
      <c r="G19" s="371" t="s">
        <v>95</v>
      </c>
      <c r="H19" s="382">
        <v>1</v>
      </c>
      <c r="I19" s="452" t="s">
        <v>96</v>
      </c>
      <c r="J19" s="561"/>
      <c r="K19" s="199" t="s">
        <v>92</v>
      </c>
      <c r="L19" s="382">
        <v>1.2E-2</v>
      </c>
      <c r="M19" s="371" t="s">
        <v>93</v>
      </c>
      <c r="N19" s="381">
        <f>L13</f>
        <v>2374532.58</v>
      </c>
      <c r="O19" s="371" t="s">
        <v>349</v>
      </c>
      <c r="P19" s="382">
        <v>0.13800000000000001</v>
      </c>
      <c r="Q19" s="371" t="s">
        <v>95</v>
      </c>
      <c r="R19" s="382">
        <v>1</v>
      </c>
      <c r="S19" s="452" t="s">
        <v>96</v>
      </c>
      <c r="T19" s="561"/>
    </row>
    <row r="20" spans="1:27" ht="14.25" customHeight="1" x14ac:dyDescent="0.2">
      <c r="A20" s="84"/>
      <c r="B20" s="482"/>
      <c r="C20" s="386" t="s">
        <v>95</v>
      </c>
      <c r="D20" s="482"/>
      <c r="E20" s="386" t="s">
        <v>65</v>
      </c>
      <c r="F20" s="482"/>
      <c r="G20" s="386" t="s">
        <v>94</v>
      </c>
      <c r="H20" s="209">
        <v>2000</v>
      </c>
      <c r="I20" s="84" t="s">
        <v>93</v>
      </c>
      <c r="J20" s="561"/>
      <c r="K20" s="84"/>
      <c r="L20" s="482"/>
      <c r="M20" s="386" t="s">
        <v>95</v>
      </c>
      <c r="N20" s="482"/>
      <c r="O20" s="386" t="s">
        <v>65</v>
      </c>
      <c r="P20" s="482"/>
      <c r="Q20" s="386" t="s">
        <v>94</v>
      </c>
      <c r="R20" s="209">
        <v>2000</v>
      </c>
      <c r="S20" s="84" t="s">
        <v>93</v>
      </c>
      <c r="T20" s="561"/>
    </row>
    <row r="21" spans="1:27" ht="14.25" customHeight="1" x14ac:dyDescent="0.2">
      <c r="A21" s="84"/>
      <c r="B21" s="84"/>
      <c r="C21" s="84"/>
      <c r="D21" s="84"/>
      <c r="E21" s="84"/>
      <c r="F21" s="84"/>
      <c r="G21" s="84"/>
      <c r="H21" s="84"/>
      <c r="I21" s="84"/>
      <c r="J21" s="194"/>
      <c r="K21" s="84"/>
      <c r="L21" s="84"/>
      <c r="M21" s="84"/>
      <c r="N21" s="84"/>
      <c r="O21" s="84"/>
      <c r="P21" s="84"/>
      <c r="Q21" s="84"/>
      <c r="R21" s="84"/>
      <c r="S21" s="84"/>
      <c r="T21" s="194"/>
    </row>
    <row r="22" spans="1:27" ht="14.25" customHeight="1" x14ac:dyDescent="0.2">
      <c r="A22" s="199" t="s">
        <v>92</v>
      </c>
      <c r="B22" s="388">
        <f>(B19*D19*F19)/H20</f>
        <v>3.4472913249600001</v>
      </c>
      <c r="C22" s="202" t="s">
        <v>96</v>
      </c>
      <c r="D22" s="84"/>
      <c r="E22" s="84"/>
      <c r="F22" s="84"/>
      <c r="G22" s="84"/>
      <c r="H22" s="84"/>
      <c r="I22" s="84"/>
      <c r="J22" s="194"/>
      <c r="K22" s="199" t="s">
        <v>92</v>
      </c>
      <c r="L22" s="388">
        <f>(L19*N19*P19)/R20</f>
        <v>1.9661129762400003</v>
      </c>
      <c r="M22" s="202" t="s">
        <v>96</v>
      </c>
      <c r="N22" s="84"/>
      <c r="O22" s="84"/>
      <c r="P22" s="84"/>
      <c r="Q22" s="84"/>
      <c r="R22" s="84"/>
      <c r="S22" s="84"/>
      <c r="T22" s="194"/>
    </row>
    <row r="23" spans="1:27" ht="14.25" customHeight="1" x14ac:dyDescent="0.2">
      <c r="A23" s="84"/>
      <c r="B23" s="84"/>
      <c r="C23" s="194" t="s">
        <v>65</v>
      </c>
      <c r="D23" s="84"/>
      <c r="E23" s="84"/>
      <c r="F23" s="84"/>
      <c r="G23" s="84"/>
      <c r="H23" s="84"/>
      <c r="I23" s="84"/>
      <c r="J23" s="194"/>
      <c r="K23" s="84"/>
      <c r="L23" s="84"/>
      <c r="M23" s="194" t="s">
        <v>65</v>
      </c>
      <c r="N23" s="84"/>
      <c r="O23" s="84"/>
      <c r="P23" s="84"/>
      <c r="Q23" s="84"/>
      <c r="R23" s="84"/>
      <c r="S23" s="84"/>
      <c r="T23" s="194"/>
    </row>
    <row r="24" spans="1:27" ht="14.25" customHeight="1" x14ac:dyDescent="0.2">
      <c r="A24" s="84"/>
      <c r="B24" s="84"/>
      <c r="C24" s="84"/>
      <c r="D24" s="84"/>
      <c r="E24" s="84"/>
      <c r="F24" s="84"/>
      <c r="G24" s="84"/>
      <c r="H24" s="84"/>
      <c r="I24" s="84"/>
      <c r="J24" s="194"/>
      <c r="K24" s="84"/>
      <c r="L24" s="84"/>
      <c r="M24" s="84"/>
      <c r="N24" s="84"/>
      <c r="O24" s="84"/>
      <c r="P24" s="84"/>
      <c r="Q24" s="84"/>
      <c r="R24" s="84"/>
      <c r="S24" s="84"/>
      <c r="T24" s="194"/>
    </row>
    <row r="25" spans="1:27" ht="14.25" customHeight="1" x14ac:dyDescent="0.2">
      <c r="A25" s="84"/>
      <c r="B25" s="84"/>
      <c r="C25" s="84"/>
      <c r="D25" s="84"/>
      <c r="E25" s="84"/>
      <c r="F25" s="84"/>
      <c r="G25" s="84"/>
      <c r="H25" s="84"/>
      <c r="I25" s="84"/>
      <c r="J25" s="194"/>
      <c r="K25" s="84"/>
      <c r="L25" s="84"/>
      <c r="M25" s="84"/>
      <c r="N25" s="84"/>
      <c r="O25" s="84"/>
      <c r="P25" s="84"/>
      <c r="Q25" s="84"/>
      <c r="R25" s="84"/>
      <c r="S25" s="84"/>
      <c r="T25" s="194"/>
    </row>
    <row r="26" spans="1:27" ht="14.25" customHeight="1" x14ac:dyDescent="0.2">
      <c r="A26" s="84" t="s">
        <v>99</v>
      </c>
      <c r="B26" s="84"/>
      <c r="C26" s="84"/>
      <c r="D26" s="84"/>
      <c r="E26" s="84"/>
      <c r="F26" s="84"/>
      <c r="G26" s="84"/>
      <c r="H26" s="84"/>
      <c r="I26" s="84"/>
      <c r="J26" s="194"/>
      <c r="K26" s="84" t="s">
        <v>99</v>
      </c>
      <c r="L26" s="84"/>
      <c r="M26" s="84"/>
      <c r="N26" s="84"/>
      <c r="O26" s="84"/>
      <c r="P26" s="84"/>
      <c r="Q26" s="84"/>
      <c r="R26" s="84"/>
      <c r="S26" s="84"/>
      <c r="T26" s="194"/>
    </row>
    <row r="27" spans="1:27" ht="14.25" customHeight="1" x14ac:dyDescent="0.2">
      <c r="A27" s="84"/>
      <c r="B27" s="84"/>
      <c r="C27" s="84"/>
      <c r="D27" s="84"/>
      <c r="E27" s="84"/>
      <c r="F27" s="84"/>
      <c r="G27" s="84"/>
      <c r="H27" s="84"/>
      <c r="I27" s="84"/>
      <c r="J27" s="194"/>
      <c r="K27" s="84"/>
      <c r="L27" s="84"/>
      <c r="M27" s="84"/>
      <c r="N27" s="84"/>
      <c r="O27" s="84"/>
      <c r="P27" s="84"/>
      <c r="Q27" s="84"/>
      <c r="R27" s="84"/>
      <c r="S27" s="84"/>
      <c r="T27" s="194"/>
    </row>
    <row r="28" spans="1:27" ht="14.25" customHeight="1" x14ac:dyDescent="0.2">
      <c r="A28" s="199" t="s">
        <v>92</v>
      </c>
      <c r="B28" s="391">
        <f>1.01*B14</f>
        <v>1.01E-2</v>
      </c>
      <c r="C28" s="371" t="s">
        <v>93</v>
      </c>
      <c r="D28" s="381">
        <f>B13</f>
        <v>4163395.32</v>
      </c>
      <c r="E28" s="371" t="s">
        <v>349</v>
      </c>
      <c r="F28" s="382">
        <v>0.13800000000000001</v>
      </c>
      <c r="G28" s="371" t="s">
        <v>95</v>
      </c>
      <c r="H28" s="382">
        <v>1</v>
      </c>
      <c r="I28" s="452" t="s">
        <v>96</v>
      </c>
      <c r="J28" s="561"/>
      <c r="K28" s="199" t="s">
        <v>92</v>
      </c>
      <c r="L28" s="391">
        <f>1.01*L14</f>
        <v>1.01E-2</v>
      </c>
      <c r="M28" s="371" t="s">
        <v>93</v>
      </c>
      <c r="N28" s="381">
        <f>L13</f>
        <v>2374532.58</v>
      </c>
      <c r="O28" s="371" t="s">
        <v>349</v>
      </c>
      <c r="P28" s="382">
        <v>0.13800000000000001</v>
      </c>
      <c r="Q28" s="371" t="s">
        <v>95</v>
      </c>
      <c r="R28" s="382">
        <v>1</v>
      </c>
      <c r="S28" s="452" t="s">
        <v>96</v>
      </c>
      <c r="T28" s="561"/>
    </row>
    <row r="29" spans="1:27" ht="14.25" customHeight="1" x14ac:dyDescent="0.2">
      <c r="A29" s="84"/>
      <c r="B29" s="482"/>
      <c r="C29" s="386" t="s">
        <v>95</v>
      </c>
      <c r="D29" s="482"/>
      <c r="E29" s="386" t="s">
        <v>65</v>
      </c>
      <c r="F29" s="482"/>
      <c r="G29" s="386" t="s">
        <v>94</v>
      </c>
      <c r="H29" s="209">
        <v>2000</v>
      </c>
      <c r="I29" s="84" t="s">
        <v>93</v>
      </c>
      <c r="J29" s="561"/>
      <c r="K29" s="84"/>
      <c r="L29" s="482"/>
      <c r="M29" s="386" t="s">
        <v>95</v>
      </c>
      <c r="N29" s="482"/>
      <c r="O29" s="386" t="s">
        <v>65</v>
      </c>
      <c r="P29" s="482"/>
      <c r="Q29" s="386" t="s">
        <v>94</v>
      </c>
      <c r="R29" s="209">
        <v>2000</v>
      </c>
      <c r="S29" s="84" t="s">
        <v>93</v>
      </c>
      <c r="T29" s="561"/>
    </row>
    <row r="30" spans="1:27" ht="14.25" customHeight="1" x14ac:dyDescent="0.2">
      <c r="A30" s="84"/>
      <c r="B30" s="84"/>
      <c r="C30" s="84"/>
      <c r="D30" s="84"/>
      <c r="E30" s="84"/>
      <c r="F30" s="84"/>
      <c r="G30" s="84"/>
      <c r="H30" s="84"/>
      <c r="I30" s="84"/>
      <c r="J30" s="194"/>
      <c r="K30" s="84"/>
      <c r="L30" s="84"/>
      <c r="M30" s="84"/>
      <c r="N30" s="84"/>
      <c r="O30" s="84"/>
      <c r="P30" s="84"/>
      <c r="Q30" s="84"/>
      <c r="R30" s="84"/>
      <c r="S30" s="84"/>
      <c r="T30" s="194"/>
    </row>
    <row r="31" spans="1:27" ht="14.25" customHeight="1" x14ac:dyDescent="0.2">
      <c r="A31" s="199" t="s">
        <v>92</v>
      </c>
      <c r="B31" s="388">
        <f>(B28*D28*F28)/H29</f>
        <v>2.901470198508</v>
      </c>
      <c r="C31" s="202" t="s">
        <v>96</v>
      </c>
      <c r="D31" s="84"/>
      <c r="E31" s="84"/>
      <c r="F31" s="84"/>
      <c r="G31" s="84"/>
      <c r="H31" s="84"/>
      <c r="I31" s="84"/>
      <c r="J31" s="194"/>
      <c r="K31" s="199" t="s">
        <v>92</v>
      </c>
      <c r="L31" s="388">
        <f>(L28*N28*P28)/R29</f>
        <v>1.6548117550020001</v>
      </c>
      <c r="M31" s="202" t="s">
        <v>96</v>
      </c>
      <c r="N31" s="84"/>
      <c r="O31" s="84"/>
      <c r="P31" s="84"/>
      <c r="Q31" s="84"/>
      <c r="R31" s="84"/>
      <c r="S31" s="84"/>
      <c r="T31" s="194"/>
    </row>
    <row r="32" spans="1:27" ht="14.25" customHeight="1" x14ac:dyDescent="0.2">
      <c r="A32" s="84"/>
      <c r="B32" s="84"/>
      <c r="C32" s="194" t="s">
        <v>65</v>
      </c>
      <c r="D32" s="84"/>
      <c r="E32" s="84"/>
      <c r="F32" s="84"/>
      <c r="G32" s="84"/>
      <c r="H32" s="84"/>
      <c r="I32" s="84"/>
      <c r="J32" s="194"/>
      <c r="K32" s="84"/>
      <c r="L32" s="84"/>
      <c r="M32" s="194" t="s">
        <v>65</v>
      </c>
      <c r="N32" s="84"/>
      <c r="O32" s="84"/>
      <c r="P32" s="84"/>
      <c r="Q32" s="84"/>
      <c r="R32" s="84"/>
      <c r="S32" s="84"/>
      <c r="T32" s="194"/>
    </row>
    <row r="33" spans="1:20" ht="14.25" customHeight="1" x14ac:dyDescent="0.2">
      <c r="A33" s="84"/>
      <c r="B33" s="84"/>
      <c r="C33" s="84"/>
      <c r="D33" s="84"/>
      <c r="E33" s="84"/>
      <c r="F33" s="84"/>
      <c r="G33" s="84"/>
      <c r="H33" s="84"/>
      <c r="I33" s="84"/>
      <c r="J33" s="194"/>
      <c r="K33" s="84"/>
      <c r="L33" s="84"/>
      <c r="M33" s="84"/>
      <c r="N33" s="84"/>
      <c r="O33" s="84"/>
      <c r="P33" s="84"/>
      <c r="Q33" s="84"/>
      <c r="R33" s="84"/>
      <c r="S33" s="84"/>
      <c r="T33" s="194"/>
    </row>
    <row r="34" spans="1:20" ht="14.25" customHeight="1" x14ac:dyDescent="0.2">
      <c r="A34" s="84"/>
      <c r="B34" s="84"/>
      <c r="C34" s="84"/>
      <c r="D34" s="84"/>
      <c r="E34" s="84"/>
      <c r="F34" s="84"/>
      <c r="G34" s="84"/>
      <c r="H34" s="84"/>
      <c r="I34" s="84"/>
      <c r="J34" s="194"/>
      <c r="K34" s="84"/>
      <c r="L34" s="84"/>
      <c r="M34" s="84"/>
      <c r="N34" s="84"/>
      <c r="O34" s="84"/>
      <c r="P34" s="84"/>
      <c r="Q34" s="84"/>
      <c r="R34" s="84"/>
      <c r="S34" s="84"/>
      <c r="T34" s="194"/>
    </row>
    <row r="35" spans="1:20" ht="14.25" customHeight="1" x14ac:dyDescent="0.2">
      <c r="A35" s="84" t="s">
        <v>100</v>
      </c>
      <c r="B35" s="84"/>
      <c r="C35" s="84"/>
      <c r="D35" s="84"/>
      <c r="E35" s="84"/>
      <c r="F35" s="84"/>
      <c r="G35" s="84"/>
      <c r="H35" s="84"/>
      <c r="I35" s="84"/>
      <c r="J35" s="194"/>
      <c r="K35" s="84" t="s">
        <v>100</v>
      </c>
      <c r="L35" s="84"/>
      <c r="M35" s="84"/>
      <c r="N35" s="84"/>
      <c r="O35" s="84"/>
      <c r="P35" s="84"/>
      <c r="Q35" s="84"/>
      <c r="R35" s="84"/>
      <c r="S35" s="84"/>
      <c r="T35" s="194"/>
    </row>
    <row r="36" spans="1:20" ht="14.25" customHeight="1" x14ac:dyDescent="0.2">
      <c r="A36" s="84"/>
      <c r="B36" s="84"/>
      <c r="C36" s="84"/>
      <c r="D36" s="84"/>
      <c r="E36" s="84"/>
      <c r="F36" s="84"/>
      <c r="G36" s="84"/>
      <c r="H36" s="84"/>
      <c r="I36" s="84"/>
      <c r="J36" s="194"/>
      <c r="K36" s="84"/>
      <c r="L36" s="84"/>
      <c r="M36" s="84"/>
      <c r="N36" s="84"/>
      <c r="O36" s="84"/>
      <c r="P36" s="84"/>
      <c r="Q36" s="84"/>
      <c r="R36" s="84"/>
      <c r="S36" s="84"/>
      <c r="T36" s="194"/>
    </row>
    <row r="37" spans="1:20" ht="14.25" customHeight="1" x14ac:dyDescent="0.2">
      <c r="A37" s="199" t="s">
        <v>92</v>
      </c>
      <c r="B37" s="382">
        <v>0.88</v>
      </c>
      <c r="C37" s="371" t="s">
        <v>93</v>
      </c>
      <c r="D37" s="381">
        <f>B13</f>
        <v>4163395.32</v>
      </c>
      <c r="E37" s="371" t="s">
        <v>349</v>
      </c>
      <c r="F37" s="382">
        <v>0.13800000000000001</v>
      </c>
      <c r="G37" s="371" t="s">
        <v>95</v>
      </c>
      <c r="H37" s="382">
        <v>1</v>
      </c>
      <c r="I37" s="452" t="s">
        <v>96</v>
      </c>
      <c r="J37" s="561"/>
      <c r="K37" s="199" t="s">
        <v>92</v>
      </c>
      <c r="L37" s="382">
        <v>0.88</v>
      </c>
      <c r="M37" s="371" t="s">
        <v>93</v>
      </c>
      <c r="N37" s="381">
        <f>L13</f>
        <v>2374532.58</v>
      </c>
      <c r="O37" s="371" t="s">
        <v>349</v>
      </c>
      <c r="P37" s="382">
        <v>0.13800000000000001</v>
      </c>
      <c r="Q37" s="371" t="s">
        <v>95</v>
      </c>
      <c r="R37" s="382">
        <v>1</v>
      </c>
      <c r="S37" s="452" t="s">
        <v>96</v>
      </c>
      <c r="T37" s="561"/>
    </row>
    <row r="38" spans="1:20" ht="14.25" customHeight="1" x14ac:dyDescent="0.2">
      <c r="A38" s="84"/>
      <c r="B38" s="482"/>
      <c r="C38" s="386" t="s">
        <v>95</v>
      </c>
      <c r="D38" s="482"/>
      <c r="E38" s="386" t="s">
        <v>65</v>
      </c>
      <c r="F38" s="482"/>
      <c r="G38" s="386" t="s">
        <v>94</v>
      </c>
      <c r="H38" s="209">
        <v>2000</v>
      </c>
      <c r="I38" s="84" t="s">
        <v>93</v>
      </c>
      <c r="J38" s="561"/>
      <c r="K38" s="84"/>
      <c r="L38" s="482"/>
      <c r="M38" s="386" t="s">
        <v>95</v>
      </c>
      <c r="N38" s="482"/>
      <c r="O38" s="386" t="s">
        <v>65</v>
      </c>
      <c r="P38" s="482"/>
      <c r="Q38" s="386" t="s">
        <v>94</v>
      </c>
      <c r="R38" s="209">
        <v>2000</v>
      </c>
      <c r="S38" s="84" t="s">
        <v>93</v>
      </c>
      <c r="T38" s="561"/>
    </row>
    <row r="39" spans="1:20" ht="14.25" customHeight="1" x14ac:dyDescent="0.2">
      <c r="A39" s="84"/>
      <c r="B39" s="84"/>
      <c r="C39" s="84"/>
      <c r="D39" s="84"/>
      <c r="E39" s="84"/>
      <c r="F39" s="84"/>
      <c r="G39" s="84"/>
      <c r="H39" s="84"/>
      <c r="I39" s="84"/>
      <c r="J39" s="194"/>
      <c r="K39" s="84"/>
      <c r="L39" s="84"/>
      <c r="M39" s="84"/>
      <c r="N39" s="84"/>
      <c r="O39" s="84"/>
      <c r="P39" s="84"/>
      <c r="Q39" s="84"/>
      <c r="R39" s="84"/>
      <c r="S39" s="84"/>
      <c r="T39" s="194"/>
    </row>
    <row r="40" spans="1:20" ht="14.25" customHeight="1" x14ac:dyDescent="0.2">
      <c r="A40" s="199" t="s">
        <v>92</v>
      </c>
      <c r="B40" s="483">
        <f>(B37*D37*F37)/H38</f>
        <v>252.80136383040002</v>
      </c>
      <c r="C40" s="202" t="s">
        <v>96</v>
      </c>
      <c r="D40" s="84"/>
      <c r="E40" s="84"/>
      <c r="F40" s="84"/>
      <c r="G40" s="84"/>
      <c r="H40" s="84"/>
      <c r="I40" s="84"/>
      <c r="J40" s="194"/>
      <c r="K40" s="199" t="s">
        <v>92</v>
      </c>
      <c r="L40" s="483">
        <f>(L37*N37*P37)/R38</f>
        <v>144.18161825760004</v>
      </c>
      <c r="M40" s="202" t="s">
        <v>96</v>
      </c>
      <c r="N40" s="84"/>
      <c r="O40" s="84"/>
      <c r="P40" s="84"/>
      <c r="Q40" s="84"/>
      <c r="R40" s="84"/>
      <c r="S40" s="84"/>
      <c r="T40" s="194"/>
    </row>
    <row r="41" spans="1:20" ht="14.25" customHeight="1" x14ac:dyDescent="0.2">
      <c r="A41" s="84"/>
      <c r="B41" s="84"/>
      <c r="C41" s="194" t="s">
        <v>65</v>
      </c>
      <c r="D41" s="84"/>
      <c r="E41" s="84"/>
      <c r="F41" s="84"/>
      <c r="G41" s="84"/>
      <c r="H41" s="84"/>
      <c r="I41" s="84"/>
      <c r="J41" s="194"/>
      <c r="K41" s="84"/>
      <c r="L41" s="84"/>
      <c r="M41" s="194" t="s">
        <v>65</v>
      </c>
      <c r="N41" s="84"/>
      <c r="O41" s="84"/>
      <c r="P41" s="84"/>
      <c r="Q41" s="84"/>
      <c r="R41" s="84"/>
      <c r="S41" s="84"/>
      <c r="T41" s="194"/>
    </row>
    <row r="42" spans="1:20" ht="14.25" customHeight="1" x14ac:dyDescent="0.2">
      <c r="A42" s="84"/>
      <c r="B42" s="84"/>
      <c r="C42" s="84"/>
      <c r="D42" s="84"/>
      <c r="E42" s="84"/>
      <c r="F42" s="84"/>
      <c r="G42" s="84"/>
      <c r="H42" s="84"/>
      <c r="I42" s="84"/>
      <c r="J42" s="194"/>
      <c r="K42" s="84"/>
      <c r="L42" s="84"/>
      <c r="M42" s="84"/>
      <c r="N42" s="84"/>
      <c r="O42" s="84"/>
      <c r="P42" s="84"/>
      <c r="Q42" s="84"/>
      <c r="R42" s="84"/>
      <c r="S42" s="84"/>
      <c r="T42" s="194"/>
    </row>
    <row r="43" spans="1:20" ht="14.25" customHeight="1" x14ac:dyDescent="0.2">
      <c r="A43" s="84"/>
      <c r="B43" s="84"/>
      <c r="C43" s="84"/>
      <c r="D43" s="84"/>
      <c r="E43" s="84"/>
      <c r="F43" s="84"/>
      <c r="G43" s="84"/>
      <c r="H43" s="84"/>
      <c r="I43" s="84"/>
      <c r="J43" s="194"/>
      <c r="K43" s="84"/>
      <c r="L43" s="84"/>
      <c r="M43" s="84"/>
      <c r="N43" s="84"/>
      <c r="O43" s="84"/>
      <c r="P43" s="84"/>
      <c r="Q43" s="84"/>
      <c r="R43" s="84"/>
      <c r="S43" s="84"/>
      <c r="T43" s="194"/>
    </row>
    <row r="44" spans="1:20" ht="14.25" customHeight="1" x14ac:dyDescent="0.2">
      <c r="A44" s="84" t="s">
        <v>101</v>
      </c>
      <c r="B44" s="84"/>
      <c r="C44" s="84"/>
      <c r="D44" s="84"/>
      <c r="E44" s="84"/>
      <c r="F44" s="84"/>
      <c r="G44" s="84"/>
      <c r="H44" s="84"/>
      <c r="I44" s="84"/>
      <c r="J44" s="194"/>
      <c r="K44" s="84" t="s">
        <v>101</v>
      </c>
      <c r="L44" s="84"/>
      <c r="M44" s="84"/>
      <c r="N44" s="84"/>
      <c r="O44" s="84"/>
      <c r="P44" s="84"/>
      <c r="Q44" s="84"/>
      <c r="R44" s="84"/>
      <c r="S44" s="84"/>
      <c r="T44" s="194"/>
    </row>
    <row r="45" spans="1:20" ht="14.25" customHeight="1" x14ac:dyDescent="0.2">
      <c r="A45" s="84"/>
      <c r="B45" s="84"/>
      <c r="C45" s="84"/>
      <c r="D45" s="84"/>
      <c r="E45" s="84"/>
      <c r="F45" s="84"/>
      <c r="G45" s="84"/>
      <c r="H45" s="84"/>
      <c r="I45" s="84"/>
      <c r="J45" s="194"/>
      <c r="K45" s="84"/>
      <c r="L45" s="84"/>
      <c r="M45" s="84"/>
      <c r="N45" s="84"/>
      <c r="O45" s="84"/>
      <c r="P45" s="84"/>
      <c r="Q45" s="84"/>
      <c r="R45" s="84"/>
      <c r="S45" s="84"/>
      <c r="T45" s="194"/>
    </row>
    <row r="46" spans="1:20" ht="14.25" customHeight="1" x14ac:dyDescent="0.2">
      <c r="A46" s="199" t="s">
        <v>92</v>
      </c>
      <c r="B46" s="382">
        <v>4.0999999999999999E-4</v>
      </c>
      <c r="C46" s="371" t="s">
        <v>93</v>
      </c>
      <c r="D46" s="381">
        <f>B13</f>
        <v>4163395.32</v>
      </c>
      <c r="E46" s="371" t="s">
        <v>349</v>
      </c>
      <c r="F46" s="382">
        <v>0.13800000000000001</v>
      </c>
      <c r="G46" s="371" t="s">
        <v>95</v>
      </c>
      <c r="H46" s="382">
        <v>1</v>
      </c>
      <c r="I46" s="452" t="s">
        <v>96</v>
      </c>
      <c r="J46" s="561"/>
      <c r="K46" s="199" t="s">
        <v>92</v>
      </c>
      <c r="L46" s="382">
        <v>4.0999999999999999E-4</v>
      </c>
      <c r="M46" s="371" t="s">
        <v>93</v>
      </c>
      <c r="N46" s="381">
        <f>L13</f>
        <v>2374532.58</v>
      </c>
      <c r="O46" s="371" t="s">
        <v>349</v>
      </c>
      <c r="P46" s="382">
        <v>0.13800000000000001</v>
      </c>
      <c r="Q46" s="371" t="s">
        <v>95</v>
      </c>
      <c r="R46" s="382">
        <v>1</v>
      </c>
      <c r="S46" s="452" t="s">
        <v>96</v>
      </c>
      <c r="T46" s="561"/>
    </row>
    <row r="47" spans="1:20" ht="14.25" customHeight="1" x14ac:dyDescent="0.2">
      <c r="A47" s="84"/>
      <c r="C47" s="386" t="s">
        <v>95</v>
      </c>
      <c r="D47" s="482"/>
      <c r="E47" s="386" t="s">
        <v>65</v>
      </c>
      <c r="F47" s="482"/>
      <c r="G47" s="386" t="s">
        <v>94</v>
      </c>
      <c r="H47" s="209">
        <v>2000</v>
      </c>
      <c r="I47" s="84" t="s">
        <v>93</v>
      </c>
      <c r="J47" s="561"/>
      <c r="K47" s="84"/>
      <c r="L47" s="482"/>
      <c r="M47" s="386" t="s">
        <v>95</v>
      </c>
      <c r="N47" s="482"/>
      <c r="O47" s="386" t="s">
        <v>65</v>
      </c>
      <c r="P47" s="482"/>
      <c r="Q47" s="386" t="s">
        <v>94</v>
      </c>
      <c r="R47" s="209">
        <v>2000</v>
      </c>
      <c r="S47" s="84" t="s">
        <v>93</v>
      </c>
      <c r="T47" s="561"/>
    </row>
    <row r="48" spans="1:20" ht="14.25" customHeight="1" x14ac:dyDescent="0.2">
      <c r="A48" s="84"/>
      <c r="B48" s="84"/>
      <c r="C48" s="84"/>
      <c r="D48" s="84"/>
      <c r="E48" s="84"/>
      <c r="F48" s="84"/>
      <c r="G48" s="84"/>
      <c r="H48" s="84"/>
      <c r="I48" s="84"/>
      <c r="J48" s="194"/>
      <c r="K48" s="84"/>
      <c r="L48" s="84"/>
      <c r="M48" s="84"/>
      <c r="N48" s="84"/>
      <c r="O48" s="84"/>
      <c r="P48" s="84"/>
      <c r="Q48" s="84"/>
      <c r="R48" s="84"/>
      <c r="S48" s="84"/>
      <c r="T48" s="194"/>
    </row>
    <row r="49" spans="1:20" ht="14.25" customHeight="1" x14ac:dyDescent="0.2">
      <c r="A49" s="199" t="s">
        <v>92</v>
      </c>
      <c r="B49" s="484">
        <f>(B46*D46*F46)/H47</f>
        <v>0.11778245360279999</v>
      </c>
      <c r="C49" s="202" t="s">
        <v>96</v>
      </c>
      <c r="D49" s="84"/>
      <c r="E49" s="84"/>
      <c r="F49" s="84"/>
      <c r="G49" s="84"/>
      <c r="H49" s="84"/>
      <c r="I49" s="84"/>
      <c r="J49" s="194"/>
      <c r="K49" s="199" t="s">
        <v>92</v>
      </c>
      <c r="L49" s="484">
        <f>(L46*N46*P46)/R47</f>
        <v>6.717552668820001E-2</v>
      </c>
      <c r="M49" s="202" t="s">
        <v>96</v>
      </c>
      <c r="N49" s="84"/>
      <c r="O49" s="84"/>
      <c r="P49" s="84"/>
      <c r="Q49" s="84"/>
      <c r="R49" s="84"/>
      <c r="S49" s="84"/>
      <c r="T49" s="194"/>
    </row>
    <row r="50" spans="1:20" ht="14.25" customHeight="1" x14ac:dyDescent="0.2">
      <c r="A50" s="84"/>
      <c r="B50" s="84"/>
      <c r="C50" s="194" t="s">
        <v>65</v>
      </c>
      <c r="D50" s="84"/>
      <c r="E50" s="84"/>
      <c r="F50" s="84"/>
      <c r="G50" s="84"/>
      <c r="H50" s="84"/>
      <c r="I50" s="84"/>
      <c r="J50" s="194"/>
      <c r="K50" s="84"/>
      <c r="L50" s="84"/>
      <c r="M50" s="194" t="s">
        <v>65</v>
      </c>
      <c r="N50" s="84"/>
      <c r="O50" s="84"/>
      <c r="P50" s="84"/>
      <c r="Q50" s="84"/>
      <c r="R50" s="84"/>
      <c r="S50" s="84"/>
      <c r="T50" s="194"/>
    </row>
    <row r="51" spans="1:20" ht="14.25" customHeight="1" x14ac:dyDescent="0.2">
      <c r="A51" s="84"/>
      <c r="B51" s="84"/>
      <c r="C51" s="194"/>
      <c r="D51" s="84"/>
      <c r="E51" s="84"/>
      <c r="F51" s="84"/>
      <c r="G51" s="84"/>
      <c r="H51" s="84"/>
      <c r="I51" s="84"/>
      <c r="J51" s="194"/>
      <c r="K51" s="84"/>
      <c r="L51" s="84"/>
      <c r="M51" s="194"/>
      <c r="N51" s="84"/>
      <c r="O51" s="84"/>
      <c r="P51" s="84"/>
      <c r="Q51" s="84"/>
      <c r="R51" s="84"/>
      <c r="S51" s="84"/>
      <c r="T51" s="194"/>
    </row>
    <row r="52" spans="1:20" ht="14.25" customHeight="1" x14ac:dyDescent="0.2">
      <c r="A52" s="84"/>
      <c r="B52" s="84"/>
      <c r="C52" s="194"/>
      <c r="D52" s="84"/>
      <c r="E52" s="84"/>
      <c r="F52" s="84"/>
      <c r="G52" s="84"/>
      <c r="H52" s="84"/>
      <c r="I52" s="84"/>
      <c r="J52" s="194"/>
      <c r="K52" s="84"/>
      <c r="L52" s="84"/>
      <c r="M52" s="194"/>
      <c r="N52" s="84"/>
      <c r="O52" s="84"/>
      <c r="P52" s="84"/>
      <c r="Q52" s="84"/>
      <c r="R52" s="84"/>
      <c r="S52" s="84"/>
      <c r="T52" s="194"/>
    </row>
    <row r="53" spans="1:20" ht="14.25" customHeight="1" x14ac:dyDescent="0.2">
      <c r="A53" s="84"/>
      <c r="B53" s="84"/>
      <c r="C53" s="194"/>
      <c r="D53" s="84"/>
      <c r="E53" s="84"/>
      <c r="F53" s="84"/>
      <c r="G53" s="84"/>
      <c r="H53" s="84"/>
      <c r="I53" s="84"/>
      <c r="J53" s="194"/>
      <c r="K53" s="84"/>
      <c r="L53" s="84"/>
      <c r="M53" s="194"/>
      <c r="N53" s="84"/>
      <c r="O53" s="84"/>
      <c r="P53" s="84"/>
      <c r="Q53" s="84"/>
      <c r="R53" s="84"/>
      <c r="S53" s="84"/>
      <c r="T53" s="194"/>
    </row>
    <row r="54" spans="1:20" ht="14.25" customHeight="1" x14ac:dyDescent="0.2">
      <c r="A54" s="84"/>
      <c r="B54" s="84"/>
      <c r="C54" s="194"/>
      <c r="D54" s="84"/>
      <c r="E54" s="84"/>
      <c r="F54" s="84"/>
      <c r="G54" s="84"/>
      <c r="H54" s="84"/>
      <c r="I54" s="84"/>
      <c r="J54" s="194"/>
      <c r="K54" s="84"/>
      <c r="L54" s="84"/>
      <c r="M54" s="194"/>
      <c r="N54" s="84"/>
      <c r="O54" s="84"/>
      <c r="P54" s="84"/>
      <c r="Q54" s="84"/>
      <c r="R54" s="84"/>
      <c r="S54" s="84"/>
      <c r="T54" s="194"/>
    </row>
    <row r="55" spans="1:20" ht="14.25" customHeight="1" x14ac:dyDescent="0.2">
      <c r="A55" s="84"/>
      <c r="B55" s="84"/>
      <c r="C55" s="84"/>
      <c r="D55" s="84"/>
      <c r="E55" s="84"/>
      <c r="F55" s="84"/>
      <c r="G55" s="84"/>
      <c r="H55" s="84"/>
      <c r="I55" s="84"/>
      <c r="J55" s="194"/>
      <c r="K55" s="84"/>
      <c r="L55" s="84"/>
      <c r="M55" s="84"/>
      <c r="N55" s="84"/>
      <c r="O55" s="84"/>
      <c r="P55" s="84"/>
      <c r="Q55" s="84"/>
      <c r="R55" s="84"/>
      <c r="S55" s="84"/>
      <c r="T55" s="194"/>
    </row>
    <row r="56" spans="1:20" ht="14.25" customHeight="1" x14ac:dyDescent="0.2">
      <c r="A56" s="84"/>
      <c r="B56" s="84"/>
      <c r="C56" s="84"/>
      <c r="D56" s="84"/>
      <c r="E56" s="84"/>
      <c r="F56" s="84"/>
      <c r="G56" s="84"/>
      <c r="H56" s="84"/>
      <c r="I56" s="84"/>
      <c r="J56" s="194"/>
      <c r="K56" s="84"/>
      <c r="L56" s="84"/>
      <c r="M56" s="84"/>
      <c r="N56" s="84"/>
      <c r="O56" s="84"/>
      <c r="P56" s="84"/>
      <c r="Q56" s="84"/>
      <c r="R56" s="84"/>
      <c r="S56" s="84"/>
      <c r="T56" s="194"/>
    </row>
    <row r="57" spans="1:20" ht="14.25" customHeight="1" x14ac:dyDescent="0.2">
      <c r="A57" s="84" t="s">
        <v>102</v>
      </c>
      <c r="B57" s="84"/>
      <c r="C57" s="84"/>
      <c r="D57" s="84"/>
      <c r="E57" s="84"/>
      <c r="F57" s="84"/>
      <c r="G57" s="84"/>
      <c r="H57" s="84"/>
      <c r="I57" s="84"/>
      <c r="J57" s="194"/>
      <c r="K57" s="84" t="s">
        <v>102</v>
      </c>
      <c r="L57" s="84"/>
      <c r="M57" s="84"/>
      <c r="N57" s="84"/>
      <c r="O57" s="84"/>
      <c r="P57" s="84"/>
      <c r="Q57" s="84"/>
      <c r="R57" s="84"/>
      <c r="S57" s="84"/>
      <c r="T57" s="194"/>
    </row>
    <row r="58" spans="1:20" ht="14.25" customHeight="1" x14ac:dyDescent="0.2">
      <c r="A58" s="84"/>
      <c r="B58" s="84"/>
      <c r="C58" s="84"/>
      <c r="D58" s="84"/>
      <c r="E58" s="84"/>
      <c r="F58" s="84"/>
      <c r="G58" s="84"/>
      <c r="H58" s="84"/>
      <c r="I58" s="84"/>
      <c r="J58" s="194"/>
      <c r="K58" s="84"/>
      <c r="L58" s="84"/>
      <c r="M58" s="84"/>
      <c r="N58" s="84"/>
      <c r="O58" s="84"/>
      <c r="P58" s="84"/>
      <c r="Q58" s="84"/>
      <c r="R58" s="84"/>
      <c r="S58" s="84"/>
      <c r="T58" s="194"/>
    </row>
    <row r="59" spans="1:20" ht="14.25" customHeight="1" x14ac:dyDescent="0.2">
      <c r="A59" s="199" t="s">
        <v>92</v>
      </c>
      <c r="B59" s="382">
        <v>3.3E-3</v>
      </c>
      <c r="C59" s="371" t="s">
        <v>93</v>
      </c>
      <c r="D59" s="381">
        <f>B13</f>
        <v>4163395.32</v>
      </c>
      <c r="E59" s="371" t="s">
        <v>349</v>
      </c>
      <c r="F59" s="382">
        <v>0.13800000000000001</v>
      </c>
      <c r="G59" s="371" t="s">
        <v>95</v>
      </c>
      <c r="H59" s="382">
        <v>1</v>
      </c>
      <c r="I59" s="452" t="s">
        <v>96</v>
      </c>
      <c r="J59" s="561"/>
      <c r="K59" s="199" t="s">
        <v>92</v>
      </c>
      <c r="L59" s="382">
        <v>3.3E-3</v>
      </c>
      <c r="M59" s="371" t="s">
        <v>93</v>
      </c>
      <c r="N59" s="381">
        <f>L13</f>
        <v>2374532.58</v>
      </c>
      <c r="O59" s="371" t="s">
        <v>349</v>
      </c>
      <c r="P59" s="382">
        <v>0.13800000000000001</v>
      </c>
      <c r="Q59" s="371" t="s">
        <v>95</v>
      </c>
      <c r="R59" s="382">
        <v>1</v>
      </c>
      <c r="S59" s="452" t="s">
        <v>96</v>
      </c>
      <c r="T59" s="561"/>
    </row>
    <row r="60" spans="1:20" ht="14.25" customHeight="1" x14ac:dyDescent="0.2">
      <c r="A60" s="84"/>
      <c r="B60" s="482"/>
      <c r="C60" s="386" t="s">
        <v>95</v>
      </c>
      <c r="D60" s="482"/>
      <c r="E60" s="386" t="s">
        <v>65</v>
      </c>
      <c r="F60" s="482"/>
      <c r="G60" s="386" t="s">
        <v>94</v>
      </c>
      <c r="H60" s="209">
        <v>2000</v>
      </c>
      <c r="I60" s="84" t="s">
        <v>93</v>
      </c>
      <c r="J60" s="561"/>
      <c r="K60" s="84"/>
      <c r="L60" s="482"/>
      <c r="M60" s="386" t="s">
        <v>95</v>
      </c>
      <c r="N60" s="482"/>
      <c r="O60" s="386" t="s">
        <v>65</v>
      </c>
      <c r="P60" s="482"/>
      <c r="Q60" s="386" t="s">
        <v>94</v>
      </c>
      <c r="R60" s="209">
        <v>2000</v>
      </c>
      <c r="S60" s="84" t="s">
        <v>93</v>
      </c>
      <c r="T60" s="561"/>
    </row>
    <row r="61" spans="1:20" ht="14.25" customHeight="1" x14ac:dyDescent="0.2">
      <c r="A61" s="84"/>
      <c r="B61" s="84"/>
      <c r="C61" s="84"/>
      <c r="D61" s="84"/>
      <c r="E61" s="84"/>
      <c r="F61" s="84"/>
      <c r="G61" s="84"/>
      <c r="H61" s="84"/>
      <c r="I61" s="84"/>
      <c r="J61" s="194"/>
      <c r="K61" s="84"/>
      <c r="L61" s="84"/>
      <c r="M61" s="84"/>
      <c r="N61" s="84"/>
      <c r="O61" s="84"/>
      <c r="P61" s="84"/>
      <c r="Q61" s="84"/>
      <c r="R61" s="84"/>
      <c r="S61" s="84"/>
      <c r="T61" s="194"/>
    </row>
    <row r="62" spans="1:20" ht="14.25" customHeight="1" x14ac:dyDescent="0.2">
      <c r="A62" s="199" t="s">
        <v>92</v>
      </c>
      <c r="B62" s="484">
        <f>(B59*D59*F59)/H60</f>
        <v>0.94800511436399992</v>
      </c>
      <c r="C62" s="202" t="s">
        <v>96</v>
      </c>
      <c r="D62" s="84"/>
      <c r="E62" s="84"/>
      <c r="F62" s="84"/>
      <c r="G62" s="84"/>
      <c r="H62" s="84"/>
      <c r="I62" s="84"/>
      <c r="J62" s="194"/>
      <c r="K62" s="199" t="s">
        <v>92</v>
      </c>
      <c r="L62" s="484">
        <f>(L59*N59*P59)/R60</f>
        <v>0.54068106846600006</v>
      </c>
      <c r="M62" s="202" t="s">
        <v>96</v>
      </c>
      <c r="N62" s="84"/>
      <c r="O62" s="84"/>
      <c r="P62" s="84"/>
      <c r="Q62" s="84"/>
      <c r="R62" s="84"/>
      <c r="S62" s="84"/>
      <c r="T62" s="194"/>
    </row>
    <row r="63" spans="1:20" ht="14.25" customHeight="1" x14ac:dyDescent="0.2">
      <c r="A63" s="84"/>
      <c r="B63" s="84"/>
      <c r="C63" s="194" t="s">
        <v>65</v>
      </c>
      <c r="D63" s="84"/>
      <c r="E63" s="84"/>
      <c r="F63" s="84"/>
      <c r="G63" s="84"/>
      <c r="H63" s="84"/>
      <c r="I63" s="84"/>
      <c r="J63" s="194"/>
      <c r="K63" s="84"/>
      <c r="L63" s="84"/>
      <c r="M63" s="194" t="s">
        <v>65</v>
      </c>
      <c r="N63" s="84"/>
      <c r="O63" s="84"/>
      <c r="P63" s="84"/>
      <c r="Q63" s="84"/>
      <c r="R63" s="84"/>
      <c r="S63" s="84"/>
      <c r="T63" s="194"/>
    </row>
    <row r="64" spans="1:20" ht="14.25" customHeight="1" x14ac:dyDescent="0.2">
      <c r="A64" s="84"/>
      <c r="B64" s="84"/>
      <c r="C64" s="84"/>
      <c r="D64" s="84"/>
      <c r="E64" s="84"/>
      <c r="F64" s="84"/>
      <c r="G64" s="84"/>
      <c r="H64" s="84"/>
      <c r="I64" s="84"/>
      <c r="J64" s="194"/>
      <c r="K64" s="84"/>
      <c r="L64" s="84"/>
      <c r="M64" s="84"/>
      <c r="N64" s="84"/>
      <c r="O64" s="84"/>
      <c r="P64" s="84"/>
      <c r="Q64" s="84"/>
      <c r="R64" s="84"/>
      <c r="S64" s="84"/>
      <c r="T64" s="194"/>
    </row>
    <row r="65" spans="1:20" ht="14.25" customHeight="1" x14ac:dyDescent="0.2">
      <c r="A65" s="84"/>
      <c r="B65" s="84"/>
      <c r="C65" s="84"/>
      <c r="D65" s="84"/>
      <c r="E65" s="84"/>
      <c r="F65" s="84"/>
      <c r="G65" s="84"/>
      <c r="H65" s="84"/>
      <c r="I65" s="84"/>
      <c r="J65" s="194"/>
      <c r="K65" s="84"/>
      <c r="L65" s="84"/>
      <c r="M65" s="84"/>
      <c r="N65" s="84"/>
      <c r="O65" s="84"/>
      <c r="P65" s="84"/>
      <c r="Q65" s="84"/>
      <c r="R65" s="84"/>
      <c r="S65" s="84"/>
      <c r="T65" s="194"/>
    </row>
    <row r="66" spans="1:20" ht="14.25" customHeight="1" x14ac:dyDescent="0.2">
      <c r="A66" s="84" t="s">
        <v>103</v>
      </c>
      <c r="B66" s="84"/>
      <c r="C66" s="84"/>
      <c r="D66" s="84"/>
      <c r="E66" s="84"/>
      <c r="F66" s="84"/>
      <c r="G66" s="84"/>
      <c r="H66" s="84"/>
      <c r="I66" s="84"/>
      <c r="J66" s="194"/>
      <c r="K66" s="84" t="s">
        <v>103</v>
      </c>
      <c r="L66" s="84"/>
      <c r="M66" s="84"/>
      <c r="N66" s="84"/>
      <c r="O66" s="84"/>
      <c r="P66" s="84"/>
      <c r="Q66" s="84"/>
      <c r="R66" s="84"/>
      <c r="S66" s="84"/>
      <c r="T66" s="194"/>
    </row>
    <row r="67" spans="1:20" ht="14.25" customHeight="1" x14ac:dyDescent="0.2">
      <c r="A67" s="84"/>
      <c r="B67" s="84"/>
      <c r="C67" s="84"/>
      <c r="D67" s="84"/>
      <c r="E67" s="84"/>
      <c r="F67" s="84"/>
      <c r="G67" s="84"/>
      <c r="H67" s="84"/>
      <c r="I67" s="84"/>
      <c r="J67" s="194"/>
      <c r="K67" s="84"/>
      <c r="L67" s="84"/>
      <c r="M67" s="84"/>
      <c r="N67" s="84"/>
      <c r="O67" s="84"/>
      <c r="P67" s="84"/>
      <c r="Q67" s="84"/>
      <c r="R67" s="84"/>
      <c r="S67" s="84"/>
      <c r="T67" s="194"/>
    </row>
    <row r="68" spans="1:20" ht="14.25" customHeight="1" x14ac:dyDescent="0.2">
      <c r="A68" s="199" t="s">
        <v>92</v>
      </c>
      <c r="B68" s="382">
        <v>1.4E-5</v>
      </c>
      <c r="C68" s="371" t="s">
        <v>93</v>
      </c>
      <c r="D68" s="381">
        <f>B13</f>
        <v>4163395.32</v>
      </c>
      <c r="E68" s="371" t="s">
        <v>349</v>
      </c>
      <c r="F68" s="382">
        <v>0.13800000000000001</v>
      </c>
      <c r="G68" s="371" t="s">
        <v>95</v>
      </c>
      <c r="H68" s="382">
        <v>1</v>
      </c>
      <c r="I68" s="452" t="s">
        <v>96</v>
      </c>
      <c r="J68" s="561"/>
      <c r="K68" s="199" t="s">
        <v>92</v>
      </c>
      <c r="L68" s="382">
        <v>1.4E-5</v>
      </c>
      <c r="M68" s="371" t="s">
        <v>93</v>
      </c>
      <c r="N68" s="381">
        <f>L13</f>
        <v>2374532.58</v>
      </c>
      <c r="O68" s="371" t="s">
        <v>349</v>
      </c>
      <c r="P68" s="382">
        <v>0.13800000000000001</v>
      </c>
      <c r="Q68" s="371" t="s">
        <v>95</v>
      </c>
      <c r="R68" s="382">
        <v>1</v>
      </c>
      <c r="S68" s="452" t="s">
        <v>96</v>
      </c>
      <c r="T68" s="561"/>
    </row>
    <row r="69" spans="1:20" ht="14.25" customHeight="1" x14ac:dyDescent="0.2">
      <c r="A69" s="84"/>
      <c r="B69" s="482"/>
      <c r="C69" s="386" t="s">
        <v>95</v>
      </c>
      <c r="D69" s="482"/>
      <c r="E69" s="386" t="s">
        <v>65</v>
      </c>
      <c r="F69" s="482"/>
      <c r="G69" s="386" t="s">
        <v>94</v>
      </c>
      <c r="H69" s="209">
        <v>2000</v>
      </c>
      <c r="I69" s="84" t="s">
        <v>93</v>
      </c>
      <c r="J69" s="561"/>
      <c r="K69" s="84"/>
      <c r="L69" s="482"/>
      <c r="M69" s="386" t="s">
        <v>95</v>
      </c>
      <c r="N69" s="482"/>
      <c r="O69" s="386" t="s">
        <v>65</v>
      </c>
      <c r="P69" s="482"/>
      <c r="Q69" s="386" t="s">
        <v>94</v>
      </c>
      <c r="R69" s="209">
        <v>2000</v>
      </c>
      <c r="S69" s="84" t="s">
        <v>93</v>
      </c>
      <c r="T69" s="561"/>
    </row>
    <row r="71" spans="1:20" ht="14.25" customHeight="1" x14ac:dyDescent="0.2">
      <c r="A71" s="199" t="s">
        <v>92</v>
      </c>
      <c r="B71" s="484">
        <f>(B68*D68*F68)/H69</f>
        <v>4.02183987912E-3</v>
      </c>
      <c r="C71" s="202" t="s">
        <v>96</v>
      </c>
      <c r="D71" s="84"/>
      <c r="E71" s="84"/>
      <c r="F71" s="84"/>
      <c r="G71" s="84"/>
      <c r="H71" s="84"/>
      <c r="I71" s="84"/>
      <c r="J71" s="84"/>
      <c r="K71" s="199" t="s">
        <v>92</v>
      </c>
      <c r="L71" s="484">
        <f>(L68*N68*P68)/R69</f>
        <v>2.2937984722800004E-3</v>
      </c>
      <c r="M71" s="202" t="s">
        <v>96</v>
      </c>
      <c r="N71" s="84"/>
      <c r="O71" s="84"/>
      <c r="P71" s="84"/>
      <c r="Q71" s="84"/>
      <c r="R71" s="84"/>
      <c r="S71" s="84"/>
      <c r="T71" s="84"/>
    </row>
    <row r="72" spans="1:20" ht="14.25" customHeight="1" x14ac:dyDescent="0.2">
      <c r="A72" s="84"/>
      <c r="B72" s="84"/>
      <c r="C72" s="194" t="s">
        <v>65</v>
      </c>
      <c r="D72" s="84"/>
      <c r="E72" s="84"/>
      <c r="F72" s="84"/>
      <c r="G72" s="84"/>
      <c r="H72" s="84"/>
      <c r="I72" s="84"/>
      <c r="J72" s="84"/>
      <c r="K72" s="84"/>
      <c r="L72" s="84"/>
      <c r="M72" s="194" t="s">
        <v>65</v>
      </c>
      <c r="N72" s="84"/>
      <c r="O72" s="84"/>
      <c r="P72" s="84"/>
      <c r="Q72" s="84"/>
      <c r="R72" s="84"/>
      <c r="S72" s="84"/>
      <c r="T72" s="84"/>
    </row>
    <row r="75" spans="1:20" ht="14.25" customHeight="1" x14ac:dyDescent="0.2">
      <c r="A75" s="84" t="s">
        <v>104</v>
      </c>
      <c r="B75" s="84"/>
      <c r="C75" s="84"/>
      <c r="D75" s="84"/>
      <c r="E75" s="84"/>
      <c r="F75" s="84"/>
      <c r="G75" s="84"/>
      <c r="K75" s="84" t="s">
        <v>104</v>
      </c>
      <c r="L75" s="84"/>
      <c r="M75" s="84"/>
      <c r="N75" s="84"/>
      <c r="O75" s="84"/>
      <c r="P75" s="84"/>
      <c r="Q75" s="84"/>
    </row>
    <row r="77" spans="1:20" ht="14.25" customHeight="1" x14ac:dyDescent="0.2">
      <c r="A77" s="199" t="s">
        <v>92</v>
      </c>
      <c r="B77" s="465">
        <f>V14</f>
        <v>22.578420600240001</v>
      </c>
      <c r="C77" s="371" t="s">
        <v>93</v>
      </c>
      <c r="D77" s="383">
        <f>D68</f>
        <v>4163395.32</v>
      </c>
      <c r="E77" s="371" t="s">
        <v>94</v>
      </c>
      <c r="F77" s="558"/>
      <c r="G77" s="384" t="s">
        <v>96</v>
      </c>
      <c r="K77" s="199" t="s">
        <v>92</v>
      </c>
      <c r="L77" s="465">
        <f>V14</f>
        <v>22.578420600240001</v>
      </c>
      <c r="M77" s="371" t="s">
        <v>93</v>
      </c>
      <c r="N77" s="383">
        <f>N68</f>
        <v>2374532.58</v>
      </c>
      <c r="O77" s="371" t="s">
        <v>94</v>
      </c>
      <c r="P77" s="558"/>
      <c r="Q77" s="384" t="s">
        <v>96</v>
      </c>
    </row>
    <row r="78" spans="1:20" ht="14.25" customHeight="1" x14ac:dyDescent="0.25">
      <c r="A78" s="84"/>
      <c r="B78" s="385"/>
      <c r="C78" s="386" t="s">
        <v>94</v>
      </c>
      <c r="D78" s="561"/>
      <c r="E78" s="193" t="s">
        <v>65</v>
      </c>
      <c r="F78" s="209">
        <v>2000</v>
      </c>
      <c r="G78" s="387" t="s">
        <v>93</v>
      </c>
      <c r="K78" s="84"/>
      <c r="L78" s="385"/>
      <c r="M78" s="386" t="s">
        <v>94</v>
      </c>
      <c r="N78" s="561"/>
      <c r="O78" s="193" t="s">
        <v>65</v>
      </c>
      <c r="P78" s="209">
        <v>2000</v>
      </c>
      <c r="Q78" s="387" t="s">
        <v>93</v>
      </c>
    </row>
    <row r="81" spans="1:17" ht="14.25" customHeight="1" x14ac:dyDescent="0.2">
      <c r="A81" s="199" t="s">
        <v>92</v>
      </c>
      <c r="B81" s="392">
        <f>B77*D77/F78</f>
        <v>47001.445330015405</v>
      </c>
      <c r="C81" s="202" t="s">
        <v>96</v>
      </c>
      <c r="D81" s="199" t="s">
        <v>92</v>
      </c>
      <c r="E81" s="392">
        <f>B81*(2000/8760)</f>
        <v>10730.923591327717</v>
      </c>
      <c r="F81" s="202" t="s">
        <v>93</v>
      </c>
      <c r="G81" s="84"/>
      <c r="K81" s="199" t="s">
        <v>92</v>
      </c>
      <c r="L81" s="392">
        <f>L77*N77/P78</f>
        <v>26806.597660106519</v>
      </c>
      <c r="M81" s="202" t="s">
        <v>96</v>
      </c>
      <c r="N81" s="199" t="s">
        <v>92</v>
      </c>
      <c r="O81" s="392">
        <f>L81*(2000/8760)</f>
        <v>6120.2277762800268</v>
      </c>
      <c r="P81" s="202" t="s">
        <v>93</v>
      </c>
      <c r="Q81" s="84"/>
    </row>
    <row r="82" spans="1:17" ht="14.25" customHeight="1" x14ac:dyDescent="0.2">
      <c r="A82" s="84"/>
      <c r="B82" s="84"/>
      <c r="C82" s="194" t="s">
        <v>65</v>
      </c>
      <c r="D82" s="84"/>
      <c r="E82" s="84"/>
      <c r="F82" s="194" t="s">
        <v>98</v>
      </c>
      <c r="G82" s="84"/>
      <c r="K82" s="84"/>
      <c r="L82" s="84"/>
      <c r="M82" s="194" t="s">
        <v>65</v>
      </c>
      <c r="N82" s="84"/>
      <c r="O82" s="84"/>
      <c r="P82" s="194" t="s">
        <v>98</v>
      </c>
      <c r="Q82" s="84"/>
    </row>
  </sheetData>
  <mergeCells count="4">
    <mergeCell ref="A2:J2"/>
    <mergeCell ref="K2:T2"/>
    <mergeCell ref="A4:B4"/>
    <mergeCell ref="K4:L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76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1" width="11.5703125" customWidth="1"/>
    <col min="2" max="2" width="14.42578125" customWidth="1"/>
    <col min="4" max="4" width="9.7109375" customWidth="1"/>
    <col min="10" max="10" width="21.7109375" customWidth="1"/>
    <col min="11" max="11" width="11.85546875" customWidth="1"/>
    <col min="12" max="12" width="12" customWidth="1"/>
    <col min="14" max="14" width="9.7109375" customWidth="1"/>
  </cols>
  <sheetData>
    <row r="1" spans="1:23" ht="14.25" customHeight="1" x14ac:dyDescent="0.2">
      <c r="A1" s="571" t="s">
        <v>350</v>
      </c>
      <c r="B1" s="571"/>
      <c r="C1" s="571"/>
      <c r="D1" s="571"/>
      <c r="E1" s="571"/>
      <c r="F1" s="571"/>
      <c r="G1" s="571"/>
      <c r="H1" s="571"/>
      <c r="I1" s="571"/>
      <c r="K1" s="571" t="s">
        <v>351</v>
      </c>
      <c r="L1" s="571"/>
      <c r="M1" s="571"/>
      <c r="N1" s="571"/>
      <c r="O1" s="571"/>
      <c r="P1" s="571"/>
      <c r="Q1" s="571"/>
      <c r="R1" s="571"/>
      <c r="S1" s="571"/>
    </row>
    <row r="3" spans="1:23" ht="14.25" customHeight="1" x14ac:dyDescent="0.25">
      <c r="A3" s="600" t="s">
        <v>352</v>
      </c>
      <c r="B3" s="600"/>
      <c r="C3" s="600"/>
      <c r="D3" s="600"/>
      <c r="K3" s="600" t="s">
        <v>352</v>
      </c>
      <c r="L3" s="600"/>
      <c r="M3" s="600"/>
      <c r="N3" s="600"/>
    </row>
    <row r="4" spans="1:23" ht="14.25" customHeight="1" x14ac:dyDescent="0.25">
      <c r="A4" s="601" t="s">
        <v>353</v>
      </c>
      <c r="B4" s="601"/>
      <c r="C4" s="601"/>
      <c r="D4" s="601"/>
      <c r="K4" s="601" t="s">
        <v>353</v>
      </c>
      <c r="L4" s="601"/>
      <c r="M4" s="601"/>
      <c r="N4" s="601"/>
    </row>
    <row r="5" spans="1:23" ht="14.25" customHeight="1" x14ac:dyDescent="0.25">
      <c r="A5" s="485" t="s">
        <v>18</v>
      </c>
      <c r="B5" s="486">
        <v>1.2E-2</v>
      </c>
      <c r="C5" s="487" t="s">
        <v>354</v>
      </c>
      <c r="D5" s="488"/>
      <c r="K5" s="485" t="s">
        <v>18</v>
      </c>
      <c r="L5" s="486">
        <v>1.2E-2</v>
      </c>
      <c r="M5" s="487" t="s">
        <v>354</v>
      </c>
      <c r="N5" s="488"/>
    </row>
    <row r="6" spans="1:23" ht="14.25" customHeight="1" x14ac:dyDescent="0.25">
      <c r="A6" s="489" t="s">
        <v>41</v>
      </c>
      <c r="B6" s="490">
        <v>1.01</v>
      </c>
      <c r="C6" s="491" t="s">
        <v>355</v>
      </c>
      <c r="D6" s="492"/>
      <c r="K6" s="489" t="s">
        <v>41</v>
      </c>
      <c r="L6" s="490">
        <v>1.01</v>
      </c>
      <c r="M6" s="491" t="s">
        <v>355</v>
      </c>
      <c r="N6" s="492"/>
    </row>
    <row r="7" spans="1:23" ht="14.25" customHeight="1" x14ac:dyDescent="0.25">
      <c r="A7" s="489" t="s">
        <v>20</v>
      </c>
      <c r="B7" s="490">
        <v>0.88</v>
      </c>
      <c r="C7" s="491" t="s">
        <v>354</v>
      </c>
      <c r="D7" s="492"/>
      <c r="K7" s="489" t="s">
        <v>20</v>
      </c>
      <c r="L7" s="490">
        <v>0.88</v>
      </c>
      <c r="M7" s="491" t="s">
        <v>354</v>
      </c>
      <c r="N7" s="492"/>
    </row>
    <row r="8" spans="1:23" ht="14.25" customHeight="1" x14ac:dyDescent="0.25">
      <c r="A8" s="489" t="s">
        <v>22</v>
      </c>
      <c r="B8" s="490">
        <v>4.0999999999999999E-4</v>
      </c>
      <c r="C8" s="491" t="s">
        <v>354</v>
      </c>
      <c r="D8" s="492"/>
      <c r="K8" s="489" t="s">
        <v>22</v>
      </c>
      <c r="L8" s="490">
        <v>4.0999999999999999E-4</v>
      </c>
      <c r="M8" s="491" t="s">
        <v>354</v>
      </c>
      <c r="N8" s="492"/>
    </row>
    <row r="9" spans="1:23" ht="14.25" customHeight="1" x14ac:dyDescent="0.25">
      <c r="A9" s="489" t="s">
        <v>21</v>
      </c>
      <c r="B9" s="490">
        <v>3.3E-3</v>
      </c>
      <c r="C9" s="491" t="s">
        <v>354</v>
      </c>
      <c r="D9" s="492"/>
      <c r="K9" s="489" t="s">
        <v>21</v>
      </c>
      <c r="L9" s="490">
        <v>3.3E-3</v>
      </c>
      <c r="M9" s="491" t="s">
        <v>354</v>
      </c>
      <c r="N9" s="492"/>
    </row>
    <row r="10" spans="1:23" ht="14.25" customHeight="1" x14ac:dyDescent="0.25">
      <c r="A10" s="493" t="s">
        <v>23</v>
      </c>
      <c r="B10" s="494">
        <v>1.4E-5</v>
      </c>
      <c r="C10" s="495" t="s">
        <v>354</v>
      </c>
      <c r="D10" s="496"/>
      <c r="K10" s="493" t="s">
        <v>23</v>
      </c>
      <c r="L10" s="494">
        <v>1.4E-5</v>
      </c>
      <c r="M10" s="495" t="s">
        <v>354</v>
      </c>
      <c r="N10" s="496"/>
    </row>
    <row r="11" spans="1:23" ht="14.25" customHeight="1" x14ac:dyDescent="0.2">
      <c r="A11" s="463" t="s">
        <v>24</v>
      </c>
      <c r="B11" s="464" t="s">
        <v>242</v>
      </c>
      <c r="C11" s="377" t="s">
        <v>241</v>
      </c>
      <c r="D11" s="84"/>
      <c r="E11" s="84"/>
      <c r="F11" s="84"/>
      <c r="G11" s="84"/>
      <c r="H11" s="84"/>
      <c r="I11" s="84"/>
      <c r="K11" s="463" t="s">
        <v>24</v>
      </c>
      <c r="L11" s="464" t="s">
        <v>242</v>
      </c>
      <c r="M11" s="377" t="s">
        <v>241</v>
      </c>
    </row>
    <row r="13" spans="1:23" ht="14.25" customHeight="1" x14ac:dyDescent="0.25">
      <c r="A13" s="442" t="s">
        <v>326</v>
      </c>
      <c r="B13" s="140">
        <f>SUM(Turbinas!J19)</f>
        <v>0</v>
      </c>
      <c r="C13" t="s">
        <v>89</v>
      </c>
      <c r="D13" s="602" t="s">
        <v>356</v>
      </c>
      <c r="E13" s="602"/>
      <c r="F13" s="602"/>
      <c r="G13" s="602"/>
      <c r="H13" s="602"/>
      <c r="K13" s="442" t="s">
        <v>326</v>
      </c>
      <c r="L13" s="140">
        <f>SUM(Turbinas!K19)</f>
        <v>2951267.7600000007</v>
      </c>
      <c r="M13" t="s">
        <v>89</v>
      </c>
      <c r="N13" s="602" t="s">
        <v>356</v>
      </c>
      <c r="O13" s="602"/>
      <c r="P13" s="602"/>
      <c r="Q13" s="602"/>
      <c r="R13" s="602"/>
    </row>
    <row r="14" spans="1:23" ht="14.25" customHeight="1" x14ac:dyDescent="0.25">
      <c r="A14" s="442" t="s">
        <v>63</v>
      </c>
      <c r="B14" s="140">
        <f>Turbinas!AE17</f>
        <v>0.01</v>
      </c>
      <c r="K14" s="442" t="s">
        <v>63</v>
      </c>
      <c r="L14" s="140">
        <f>Turbinas!AF17</f>
        <v>0.01</v>
      </c>
      <c r="V14">
        <f>(73.96+0.003*25+0.0006*298)*2.2046*0.138</f>
        <v>22.578420600240001</v>
      </c>
      <c r="W14" t="s">
        <v>119</v>
      </c>
    </row>
    <row r="15" spans="1:23" ht="14.25" customHeight="1" x14ac:dyDescent="0.25">
      <c r="A15" s="442"/>
      <c r="B15" s="140"/>
      <c r="K15" s="442"/>
      <c r="L15" s="140"/>
    </row>
    <row r="17" spans="1:19" ht="14.25" customHeight="1" x14ac:dyDescent="0.25">
      <c r="A17" s="442" t="s">
        <v>191</v>
      </c>
      <c r="K17" s="442" t="s">
        <v>191</v>
      </c>
    </row>
    <row r="19" spans="1:19" ht="14.25" customHeight="1" x14ac:dyDescent="0.25">
      <c r="A19" s="86" t="s">
        <v>92</v>
      </c>
      <c r="B19" s="497">
        <v>1.2E-2</v>
      </c>
      <c r="C19" s="498" t="s">
        <v>93</v>
      </c>
      <c r="D19" s="499">
        <f>B13</f>
        <v>0</v>
      </c>
      <c r="E19" s="498" t="s">
        <v>94</v>
      </c>
      <c r="F19" s="497">
        <v>0.13800000000000001</v>
      </c>
      <c r="G19" s="498" t="s">
        <v>95</v>
      </c>
      <c r="H19" s="603" t="s">
        <v>96</v>
      </c>
      <c r="I19" s="603"/>
      <c r="K19" s="86" t="s">
        <v>92</v>
      </c>
      <c r="L19" s="497">
        <v>1.2E-2</v>
      </c>
      <c r="M19" s="498" t="s">
        <v>93</v>
      </c>
      <c r="N19" s="499">
        <f>L13</f>
        <v>2951267.7600000007</v>
      </c>
      <c r="O19" s="498" t="s">
        <v>94</v>
      </c>
      <c r="P19" s="497">
        <v>0.13800000000000001</v>
      </c>
      <c r="Q19" s="498" t="s">
        <v>95</v>
      </c>
      <c r="R19" s="603" t="s">
        <v>96</v>
      </c>
      <c r="S19" s="603"/>
    </row>
    <row r="20" spans="1:19" ht="14.25" customHeight="1" x14ac:dyDescent="0.25">
      <c r="B20" s="604" t="s">
        <v>95</v>
      </c>
      <c r="C20" s="604"/>
      <c r="D20" s="604" t="s">
        <v>65</v>
      </c>
      <c r="E20" s="604"/>
      <c r="F20" s="604" t="s">
        <v>94</v>
      </c>
      <c r="G20" s="604"/>
      <c r="H20" s="500">
        <v>2000</v>
      </c>
      <c r="I20" t="s">
        <v>93</v>
      </c>
      <c r="L20" s="604" t="s">
        <v>95</v>
      </c>
      <c r="M20" s="604"/>
      <c r="N20" s="604" t="s">
        <v>65</v>
      </c>
      <c r="O20" s="604"/>
      <c r="P20" s="604" t="s">
        <v>94</v>
      </c>
      <c r="Q20" s="604"/>
      <c r="R20" s="500">
        <v>2000</v>
      </c>
      <c r="S20" t="s">
        <v>93</v>
      </c>
    </row>
    <row r="22" spans="1:19" ht="14.25" customHeight="1" x14ac:dyDescent="0.25">
      <c r="A22" s="86" t="s">
        <v>92</v>
      </c>
      <c r="B22" s="98">
        <f>(B19*D19*F19)/H20</f>
        <v>0</v>
      </c>
      <c r="C22" s="93" t="s">
        <v>96</v>
      </c>
      <c r="D22" s="86" t="s">
        <v>92</v>
      </c>
      <c r="E22" s="98">
        <f>B22*2000/8760</f>
        <v>0</v>
      </c>
      <c r="F22" s="202" t="s">
        <v>93</v>
      </c>
      <c r="H22" s="79"/>
      <c r="K22" s="86" t="s">
        <v>92</v>
      </c>
      <c r="L22" s="98">
        <f>(L19*N19*P19)/R20</f>
        <v>2.4436497052800008</v>
      </c>
      <c r="M22" s="93" t="s">
        <v>96</v>
      </c>
      <c r="N22" s="86" t="s">
        <v>92</v>
      </c>
      <c r="O22" s="98">
        <f>L22*2000/8760</f>
        <v>0.55791089161643859</v>
      </c>
      <c r="P22" s="202" t="s">
        <v>93</v>
      </c>
      <c r="R22" s="79"/>
    </row>
    <row r="23" spans="1:19" ht="14.25" customHeight="1" x14ac:dyDescent="0.25">
      <c r="C23" s="563" t="s">
        <v>65</v>
      </c>
      <c r="F23" s="194" t="s">
        <v>98</v>
      </c>
      <c r="M23" s="563" t="s">
        <v>65</v>
      </c>
      <c r="P23" s="194" t="s">
        <v>98</v>
      </c>
    </row>
    <row r="25" spans="1:19" ht="14.25" customHeight="1" x14ac:dyDescent="0.25">
      <c r="A25" s="442" t="s">
        <v>99</v>
      </c>
      <c r="K25" s="442" t="s">
        <v>99</v>
      </c>
    </row>
    <row r="27" spans="1:19" ht="14.25" customHeight="1" x14ac:dyDescent="0.25">
      <c r="A27" s="86" t="s">
        <v>92</v>
      </c>
      <c r="B27" s="501">
        <f>(B6*B14)</f>
        <v>1.01E-2</v>
      </c>
      <c r="C27" s="498" t="s">
        <v>93</v>
      </c>
      <c r="D27" s="499">
        <f>B13</f>
        <v>0</v>
      </c>
      <c r="E27" s="498" t="s">
        <v>94</v>
      </c>
      <c r="F27" s="497">
        <v>0.13800000000000001</v>
      </c>
      <c r="G27" s="498" t="s">
        <v>95</v>
      </c>
      <c r="H27" s="603" t="s">
        <v>96</v>
      </c>
      <c r="I27" s="603"/>
      <c r="K27" s="86" t="s">
        <v>92</v>
      </c>
      <c r="L27" s="501">
        <f>L6*L14</f>
        <v>1.01E-2</v>
      </c>
      <c r="M27" s="498" t="s">
        <v>93</v>
      </c>
      <c r="N27" s="499">
        <f>L13</f>
        <v>2951267.7600000007</v>
      </c>
      <c r="O27" s="498" t="s">
        <v>94</v>
      </c>
      <c r="P27" s="497">
        <v>0.13800000000000001</v>
      </c>
      <c r="Q27" s="498" t="s">
        <v>95</v>
      </c>
      <c r="R27" s="603" t="s">
        <v>96</v>
      </c>
      <c r="S27" s="603"/>
    </row>
    <row r="28" spans="1:19" ht="14.25" customHeight="1" x14ac:dyDescent="0.25">
      <c r="B28" s="604" t="s">
        <v>95</v>
      </c>
      <c r="C28" s="604"/>
      <c r="D28" s="604" t="s">
        <v>65</v>
      </c>
      <c r="E28" s="604"/>
      <c r="F28" s="604" t="s">
        <v>94</v>
      </c>
      <c r="G28" s="604"/>
      <c r="H28" s="500">
        <v>2000</v>
      </c>
      <c r="I28" t="s">
        <v>93</v>
      </c>
      <c r="L28" s="604" t="s">
        <v>95</v>
      </c>
      <c r="M28" s="604"/>
      <c r="N28" s="604" t="s">
        <v>65</v>
      </c>
      <c r="O28" s="604"/>
      <c r="P28" s="604" t="s">
        <v>94</v>
      </c>
      <c r="Q28" s="604"/>
      <c r="R28" s="500">
        <v>2000</v>
      </c>
      <c r="S28" t="s">
        <v>93</v>
      </c>
    </row>
    <row r="30" spans="1:19" ht="14.25" customHeight="1" x14ac:dyDescent="0.25">
      <c r="A30" s="86" t="s">
        <v>92</v>
      </c>
      <c r="B30" s="92">
        <f>(B27*D27*F27)/H28</f>
        <v>0</v>
      </c>
      <c r="C30" s="93" t="s">
        <v>96</v>
      </c>
      <c r="D30" s="86" t="s">
        <v>92</v>
      </c>
      <c r="E30" s="98">
        <f>B30*2000/8760</f>
        <v>0</v>
      </c>
      <c r="F30" s="202" t="s">
        <v>93</v>
      </c>
      <c r="H30" s="79"/>
      <c r="K30" s="86" t="s">
        <v>92</v>
      </c>
      <c r="L30" s="92">
        <f>(L27*N27*P27)/R28</f>
        <v>2.0567385019440008</v>
      </c>
      <c r="M30" s="93" t="s">
        <v>96</v>
      </c>
      <c r="N30" s="86" t="s">
        <v>92</v>
      </c>
      <c r="O30" s="98">
        <f>L30*2000/8760</f>
        <v>0.46957500044383577</v>
      </c>
      <c r="P30" s="202" t="s">
        <v>93</v>
      </c>
      <c r="R30" s="79"/>
    </row>
    <row r="31" spans="1:19" ht="14.25" customHeight="1" x14ac:dyDescent="0.25">
      <c r="C31" s="563" t="s">
        <v>65</v>
      </c>
      <c r="F31" s="194" t="s">
        <v>98</v>
      </c>
      <c r="M31" s="563" t="s">
        <v>65</v>
      </c>
      <c r="P31" s="194" t="s">
        <v>98</v>
      </c>
    </row>
    <row r="32" spans="1:19" ht="14.25" customHeight="1" x14ac:dyDescent="0.25">
      <c r="C32" s="563"/>
      <c r="F32" s="194"/>
      <c r="M32" s="563"/>
      <c r="P32" s="194"/>
    </row>
    <row r="33" spans="1:19" ht="14.25" customHeight="1" x14ac:dyDescent="0.25">
      <c r="C33" s="563"/>
      <c r="F33" s="194"/>
      <c r="M33" s="563"/>
      <c r="P33" s="194"/>
    </row>
    <row r="34" spans="1:19" ht="14.25" customHeight="1" x14ac:dyDescent="0.2">
      <c r="A34" s="79"/>
      <c r="B34" s="79"/>
      <c r="C34" s="79"/>
      <c r="D34" s="79"/>
      <c r="E34" s="79"/>
      <c r="F34" s="79"/>
      <c r="G34" s="79"/>
      <c r="H34" s="79"/>
      <c r="I34" s="79"/>
      <c r="K34" s="79"/>
      <c r="L34" s="79"/>
      <c r="M34" s="79"/>
      <c r="N34" s="79"/>
      <c r="O34" s="79"/>
      <c r="P34" s="79"/>
      <c r="Q34" s="79"/>
      <c r="R34" s="79"/>
      <c r="S34" s="79"/>
    </row>
    <row r="35" spans="1:19" ht="14.25" customHeight="1" x14ac:dyDescent="0.25">
      <c r="A35" s="442" t="s">
        <v>100</v>
      </c>
      <c r="K35" s="442" t="s">
        <v>100</v>
      </c>
    </row>
    <row r="37" spans="1:19" ht="14.25" customHeight="1" x14ac:dyDescent="0.25">
      <c r="A37" s="86" t="s">
        <v>92</v>
      </c>
      <c r="B37" s="497">
        <v>0.88</v>
      </c>
      <c r="C37" s="498" t="s">
        <v>93</v>
      </c>
      <c r="D37" s="499">
        <f>B13</f>
        <v>0</v>
      </c>
      <c r="E37" s="498" t="s">
        <v>94</v>
      </c>
      <c r="F37" s="497">
        <v>0.13800000000000001</v>
      </c>
      <c r="G37" s="498" t="s">
        <v>95</v>
      </c>
      <c r="H37" s="603" t="s">
        <v>96</v>
      </c>
      <c r="I37" s="603"/>
      <c r="K37" s="86" t="s">
        <v>92</v>
      </c>
      <c r="L37" s="497">
        <v>0.88</v>
      </c>
      <c r="M37" s="498" t="s">
        <v>93</v>
      </c>
      <c r="N37" s="499">
        <f>L13</f>
        <v>2951267.7600000007</v>
      </c>
      <c r="O37" s="498" t="s">
        <v>94</v>
      </c>
      <c r="P37" s="497">
        <v>0.13800000000000001</v>
      </c>
      <c r="Q37" s="498" t="s">
        <v>95</v>
      </c>
      <c r="R37" s="603" t="s">
        <v>96</v>
      </c>
      <c r="S37" s="603"/>
    </row>
    <row r="38" spans="1:19" ht="14.25" customHeight="1" x14ac:dyDescent="0.25">
      <c r="B38" s="604" t="s">
        <v>95</v>
      </c>
      <c r="C38" s="604"/>
      <c r="D38" s="604" t="s">
        <v>65</v>
      </c>
      <c r="E38" s="604"/>
      <c r="F38" s="604" t="s">
        <v>94</v>
      </c>
      <c r="G38" s="604"/>
      <c r="H38" s="500">
        <v>2000</v>
      </c>
      <c r="I38" t="s">
        <v>93</v>
      </c>
      <c r="L38" s="604" t="s">
        <v>95</v>
      </c>
      <c r="M38" s="604"/>
      <c r="N38" s="604" t="s">
        <v>65</v>
      </c>
      <c r="O38" s="604"/>
      <c r="P38" s="604" t="s">
        <v>94</v>
      </c>
      <c r="Q38" s="604"/>
      <c r="R38" s="500">
        <v>2000</v>
      </c>
      <c r="S38" t="s">
        <v>93</v>
      </c>
    </row>
    <row r="40" spans="1:19" ht="14.25" customHeight="1" x14ac:dyDescent="0.25">
      <c r="A40" s="86" t="s">
        <v>92</v>
      </c>
      <c r="B40" s="92">
        <f>(B37*D37*F37)/H38</f>
        <v>0</v>
      </c>
      <c r="C40" s="93" t="s">
        <v>96</v>
      </c>
      <c r="D40" s="86" t="s">
        <v>92</v>
      </c>
      <c r="E40" s="92">
        <f>B40*2000/8760</f>
        <v>0</v>
      </c>
      <c r="F40" s="202" t="s">
        <v>93</v>
      </c>
      <c r="H40" s="79"/>
      <c r="K40" s="86" t="s">
        <v>92</v>
      </c>
      <c r="L40" s="92">
        <f>(L37*N37*P37)/R38</f>
        <v>179.20097838720005</v>
      </c>
      <c r="M40" s="93" t="s">
        <v>96</v>
      </c>
      <c r="N40" s="86" t="s">
        <v>92</v>
      </c>
      <c r="O40" s="92">
        <f>L40*2000/8760</f>
        <v>40.913465385205491</v>
      </c>
      <c r="P40" s="202" t="s">
        <v>93</v>
      </c>
      <c r="R40" s="79"/>
    </row>
    <row r="41" spans="1:19" ht="14.25" customHeight="1" x14ac:dyDescent="0.25">
      <c r="C41" s="563" t="s">
        <v>65</v>
      </c>
      <c r="F41" s="194" t="s">
        <v>98</v>
      </c>
      <c r="M41" s="563" t="s">
        <v>65</v>
      </c>
      <c r="P41" s="194" t="s">
        <v>98</v>
      </c>
    </row>
    <row r="42" spans="1:19" ht="14.25" customHeight="1" x14ac:dyDescent="0.25">
      <c r="C42" s="563"/>
      <c r="D42" s="86"/>
      <c r="E42" s="100"/>
      <c r="F42" s="194"/>
      <c r="H42" s="79"/>
      <c r="M42" s="563"/>
      <c r="N42" s="86"/>
      <c r="O42" s="100"/>
      <c r="P42" s="194"/>
      <c r="R42" s="79"/>
    </row>
    <row r="43" spans="1:19" ht="14.25" customHeight="1" x14ac:dyDescent="0.25">
      <c r="A43" s="442" t="s">
        <v>101</v>
      </c>
      <c r="K43" s="442" t="s">
        <v>101</v>
      </c>
    </row>
    <row r="45" spans="1:19" ht="14.25" customHeight="1" x14ac:dyDescent="0.25">
      <c r="A45" s="86" t="s">
        <v>92</v>
      </c>
      <c r="B45" s="497">
        <v>4.0999999999999999E-4</v>
      </c>
      <c r="C45" s="498" t="s">
        <v>93</v>
      </c>
      <c r="D45" s="499">
        <f>B13</f>
        <v>0</v>
      </c>
      <c r="E45" s="498" t="s">
        <v>94</v>
      </c>
      <c r="F45" s="497">
        <v>0.13800000000000001</v>
      </c>
      <c r="G45" s="498" t="s">
        <v>95</v>
      </c>
      <c r="H45" s="603" t="s">
        <v>96</v>
      </c>
      <c r="I45" s="603"/>
      <c r="K45" s="86" t="s">
        <v>92</v>
      </c>
      <c r="L45" s="497">
        <v>4.0999999999999999E-4</v>
      </c>
      <c r="M45" s="498" t="s">
        <v>93</v>
      </c>
      <c r="N45" s="499">
        <f>L13</f>
        <v>2951267.7600000007</v>
      </c>
      <c r="O45" s="498" t="s">
        <v>94</v>
      </c>
      <c r="P45" s="497">
        <v>0.13800000000000001</v>
      </c>
      <c r="Q45" s="498" t="s">
        <v>95</v>
      </c>
      <c r="R45" s="603" t="s">
        <v>96</v>
      </c>
      <c r="S45" s="603"/>
    </row>
    <row r="46" spans="1:19" ht="14.25" customHeight="1" x14ac:dyDescent="0.25">
      <c r="B46" s="604" t="s">
        <v>95</v>
      </c>
      <c r="C46" s="604"/>
      <c r="D46" s="604" t="s">
        <v>65</v>
      </c>
      <c r="E46" s="604"/>
      <c r="F46" s="604" t="s">
        <v>94</v>
      </c>
      <c r="G46" s="604"/>
      <c r="H46" s="500">
        <v>2000</v>
      </c>
      <c r="I46" t="s">
        <v>93</v>
      </c>
      <c r="L46" s="604" t="s">
        <v>95</v>
      </c>
      <c r="M46" s="604"/>
      <c r="N46" s="604" t="s">
        <v>65</v>
      </c>
      <c r="O46" s="604"/>
      <c r="P46" s="604" t="s">
        <v>94</v>
      </c>
      <c r="Q46" s="604"/>
      <c r="R46" s="500">
        <v>2000</v>
      </c>
      <c r="S46" t="s">
        <v>93</v>
      </c>
    </row>
    <row r="48" spans="1:19" ht="14.25" customHeight="1" x14ac:dyDescent="0.25">
      <c r="A48" s="86" t="s">
        <v>92</v>
      </c>
      <c r="B48" s="98">
        <f>(B45*D45*F45)/H46</f>
        <v>0</v>
      </c>
      <c r="C48" s="93" t="s">
        <v>96</v>
      </c>
      <c r="D48" s="86" t="s">
        <v>92</v>
      </c>
      <c r="E48" s="98">
        <f>B48*(2000/8760)</f>
        <v>0</v>
      </c>
      <c r="F48" s="202" t="s">
        <v>93</v>
      </c>
      <c r="H48" s="79"/>
      <c r="K48" s="86" t="s">
        <v>92</v>
      </c>
      <c r="L48" s="98">
        <f>(L45*N45*P45)/R46</f>
        <v>8.3491364930400019E-2</v>
      </c>
      <c r="M48" s="93" t="s">
        <v>96</v>
      </c>
      <c r="N48" s="86" t="s">
        <v>92</v>
      </c>
      <c r="O48" s="98">
        <f>L48*2000/8760</f>
        <v>1.9061955463561649E-2</v>
      </c>
      <c r="P48" s="202" t="s">
        <v>93</v>
      </c>
      <c r="R48" s="79"/>
    </row>
    <row r="49" spans="1:19" ht="14.25" customHeight="1" x14ac:dyDescent="0.25">
      <c r="C49" s="563" t="s">
        <v>65</v>
      </c>
      <c r="F49" s="194" t="s">
        <v>98</v>
      </c>
      <c r="M49" s="563" t="s">
        <v>65</v>
      </c>
      <c r="P49" s="194" t="s">
        <v>98</v>
      </c>
    </row>
    <row r="50" spans="1:19" ht="14.25" customHeight="1" x14ac:dyDescent="0.25">
      <c r="D50" s="86"/>
      <c r="E50" s="100"/>
      <c r="F50" s="194"/>
      <c r="H50" s="79"/>
      <c r="N50" s="86"/>
      <c r="O50" s="100"/>
      <c r="P50" s="194"/>
      <c r="R50" s="79"/>
    </row>
    <row r="51" spans="1:19" ht="14.25" customHeight="1" x14ac:dyDescent="0.25">
      <c r="A51" s="442" t="s">
        <v>102</v>
      </c>
      <c r="D51" s="86"/>
      <c r="E51" s="100"/>
      <c r="H51" s="79"/>
      <c r="K51" s="442" t="s">
        <v>102</v>
      </c>
      <c r="N51" s="86"/>
      <c r="O51" s="100"/>
      <c r="R51" s="79"/>
    </row>
    <row r="53" spans="1:19" ht="14.25" customHeight="1" x14ac:dyDescent="0.25">
      <c r="A53" s="86" t="s">
        <v>92</v>
      </c>
      <c r="B53" s="497">
        <v>3.3E-3</v>
      </c>
      <c r="C53" s="498" t="s">
        <v>93</v>
      </c>
      <c r="D53" s="499">
        <f>B13</f>
        <v>0</v>
      </c>
      <c r="E53" s="498" t="s">
        <v>94</v>
      </c>
      <c r="F53" s="497">
        <v>0.13800000000000001</v>
      </c>
      <c r="G53" s="498" t="s">
        <v>95</v>
      </c>
      <c r="H53" s="603" t="s">
        <v>96</v>
      </c>
      <c r="I53" s="603"/>
      <c r="K53" s="86" t="s">
        <v>92</v>
      </c>
      <c r="L53" s="497">
        <v>3.3E-3</v>
      </c>
      <c r="M53" s="498" t="s">
        <v>93</v>
      </c>
      <c r="N53" s="499">
        <f>L13</f>
        <v>2951267.7600000007</v>
      </c>
      <c r="O53" s="498" t="s">
        <v>94</v>
      </c>
      <c r="P53" s="497">
        <v>0.13800000000000001</v>
      </c>
      <c r="Q53" s="498" t="s">
        <v>95</v>
      </c>
      <c r="R53" s="603" t="s">
        <v>96</v>
      </c>
      <c r="S53" s="603"/>
    </row>
    <row r="54" spans="1:19" ht="14.25" customHeight="1" x14ac:dyDescent="0.25">
      <c r="B54" s="604" t="s">
        <v>95</v>
      </c>
      <c r="C54" s="604"/>
      <c r="D54" s="604" t="s">
        <v>65</v>
      </c>
      <c r="E54" s="604"/>
      <c r="F54" s="604" t="s">
        <v>94</v>
      </c>
      <c r="G54" s="604"/>
      <c r="H54" s="500">
        <v>2000</v>
      </c>
      <c r="I54" t="s">
        <v>93</v>
      </c>
      <c r="L54" s="604" t="s">
        <v>95</v>
      </c>
      <c r="M54" s="604"/>
      <c r="N54" s="604" t="s">
        <v>65</v>
      </c>
      <c r="O54" s="604"/>
      <c r="P54" s="604" t="s">
        <v>94</v>
      </c>
      <c r="Q54" s="604"/>
      <c r="R54" s="500">
        <v>2000</v>
      </c>
      <c r="S54" t="s">
        <v>93</v>
      </c>
    </row>
    <row r="56" spans="1:19" ht="14.25" customHeight="1" x14ac:dyDescent="0.25">
      <c r="A56" s="86" t="s">
        <v>92</v>
      </c>
      <c r="B56" s="98">
        <f>(B53*D53*F53)/H54</f>
        <v>0</v>
      </c>
      <c r="C56" s="93" t="s">
        <v>96</v>
      </c>
      <c r="D56" s="86" t="s">
        <v>92</v>
      </c>
      <c r="E56" s="98">
        <f>B56*2000/8760</f>
        <v>0</v>
      </c>
      <c r="F56" s="202" t="s">
        <v>93</v>
      </c>
      <c r="H56" s="79"/>
      <c r="K56" s="86" t="s">
        <v>92</v>
      </c>
      <c r="L56" s="98">
        <f>(L53*N53*P53)/R54</f>
        <v>0.67200366895200025</v>
      </c>
      <c r="M56" s="93" t="s">
        <v>96</v>
      </c>
      <c r="N56" s="86" t="s">
        <v>92</v>
      </c>
      <c r="O56" s="98">
        <f>L56*2000/8760</f>
        <v>0.15342549519452059</v>
      </c>
      <c r="P56" s="202" t="s">
        <v>93</v>
      </c>
      <c r="R56" s="79"/>
    </row>
    <row r="57" spans="1:19" ht="14.25" customHeight="1" x14ac:dyDescent="0.25">
      <c r="C57" s="563" t="s">
        <v>65</v>
      </c>
      <c r="F57" s="194" t="s">
        <v>98</v>
      </c>
      <c r="M57" s="563" t="s">
        <v>65</v>
      </c>
      <c r="P57" s="194" t="s">
        <v>98</v>
      </c>
    </row>
    <row r="58" spans="1:19" ht="14.25" customHeight="1" x14ac:dyDescent="0.2">
      <c r="A58" s="80"/>
      <c r="B58" s="80"/>
      <c r="C58" s="80"/>
      <c r="D58" s="80"/>
      <c r="E58" s="80"/>
      <c r="F58" s="80"/>
      <c r="G58" s="80"/>
      <c r="H58" s="80"/>
      <c r="I58" s="80"/>
      <c r="K58" s="80"/>
      <c r="L58" s="80"/>
      <c r="M58" s="80"/>
      <c r="N58" s="80"/>
      <c r="O58" s="80"/>
      <c r="P58" s="80"/>
      <c r="Q58" s="80"/>
      <c r="R58" s="80"/>
      <c r="S58" s="80"/>
    </row>
    <row r="59" spans="1:19" ht="14.25" customHeight="1" x14ac:dyDescent="0.25">
      <c r="A59" s="442" t="s">
        <v>103</v>
      </c>
      <c r="K59" s="442" t="s">
        <v>103</v>
      </c>
    </row>
    <row r="61" spans="1:19" ht="14.25" customHeight="1" x14ac:dyDescent="0.25">
      <c r="A61" s="86" t="s">
        <v>92</v>
      </c>
      <c r="B61" s="497">
        <v>1.4E-5</v>
      </c>
      <c r="C61" s="498" t="s">
        <v>93</v>
      </c>
      <c r="D61" s="499">
        <f>B13</f>
        <v>0</v>
      </c>
      <c r="E61" s="498" t="s">
        <v>94</v>
      </c>
      <c r="F61" s="497">
        <v>0.13800000000000001</v>
      </c>
      <c r="G61" s="498" t="s">
        <v>95</v>
      </c>
      <c r="H61" s="603" t="s">
        <v>96</v>
      </c>
      <c r="I61" s="603"/>
      <c r="K61" s="86" t="s">
        <v>92</v>
      </c>
      <c r="L61" s="497">
        <v>1.4E-5</v>
      </c>
      <c r="M61" s="498" t="s">
        <v>93</v>
      </c>
      <c r="N61" s="499">
        <f>L13</f>
        <v>2951267.7600000007</v>
      </c>
      <c r="O61" s="498" t="s">
        <v>94</v>
      </c>
      <c r="P61" s="497">
        <v>0.13800000000000001</v>
      </c>
      <c r="Q61" s="498" t="s">
        <v>95</v>
      </c>
      <c r="R61" s="603" t="s">
        <v>96</v>
      </c>
      <c r="S61" s="603"/>
    </row>
    <row r="62" spans="1:19" ht="14.25" customHeight="1" x14ac:dyDescent="0.25">
      <c r="B62" s="604" t="s">
        <v>95</v>
      </c>
      <c r="C62" s="604"/>
      <c r="D62" s="604" t="s">
        <v>65</v>
      </c>
      <c r="E62" s="604"/>
      <c r="F62" s="604" t="s">
        <v>94</v>
      </c>
      <c r="G62" s="604"/>
      <c r="H62" s="500">
        <v>2000</v>
      </c>
      <c r="I62" t="s">
        <v>93</v>
      </c>
      <c r="L62" s="604" t="s">
        <v>95</v>
      </c>
      <c r="M62" s="604"/>
      <c r="N62" s="604" t="s">
        <v>65</v>
      </c>
      <c r="O62" s="604"/>
      <c r="P62" s="604" t="s">
        <v>94</v>
      </c>
      <c r="Q62" s="604"/>
      <c r="R62" s="500">
        <v>2000</v>
      </c>
      <c r="S62" t="s">
        <v>93</v>
      </c>
    </row>
    <row r="64" spans="1:19" ht="14.25" customHeight="1" x14ac:dyDescent="0.25">
      <c r="A64" s="86" t="s">
        <v>92</v>
      </c>
      <c r="B64" s="98">
        <f>(B61*D61*F61)/H62</f>
        <v>0</v>
      </c>
      <c r="C64" s="93" t="s">
        <v>96</v>
      </c>
      <c r="D64" s="86" t="s">
        <v>92</v>
      </c>
      <c r="E64" s="98">
        <f>B64*2000/8760</f>
        <v>0</v>
      </c>
      <c r="F64" s="202" t="s">
        <v>93</v>
      </c>
      <c r="H64" s="79"/>
      <c r="K64" s="86" t="s">
        <v>92</v>
      </c>
      <c r="L64" s="98">
        <f>(L61*N61*P61)/R62</f>
        <v>2.8509246561600008E-3</v>
      </c>
      <c r="M64" s="93" t="s">
        <v>96</v>
      </c>
      <c r="N64" s="86" t="s">
        <v>92</v>
      </c>
      <c r="O64" s="98">
        <f>L64*2000/8760</f>
        <v>6.5089604021917834E-4</v>
      </c>
      <c r="P64" s="202" t="s">
        <v>93</v>
      </c>
      <c r="R64" s="79"/>
    </row>
    <row r="65" spans="1:17" ht="14.25" customHeight="1" x14ac:dyDescent="0.25">
      <c r="A65" s="86"/>
      <c r="B65" s="502"/>
      <c r="C65" s="563" t="s">
        <v>65</v>
      </c>
      <c r="F65" s="194" t="s">
        <v>98</v>
      </c>
      <c r="K65" s="86"/>
      <c r="L65" s="502"/>
      <c r="M65" s="563" t="s">
        <v>65</v>
      </c>
      <c r="P65" s="194" t="s">
        <v>98</v>
      </c>
    </row>
    <row r="69" spans="1:17" ht="14.25" customHeight="1" x14ac:dyDescent="0.2">
      <c r="A69" s="79" t="s">
        <v>104</v>
      </c>
      <c r="B69" s="84"/>
      <c r="C69" s="84"/>
      <c r="D69" s="84"/>
      <c r="E69" s="84"/>
      <c r="F69" s="84"/>
      <c r="G69" s="84"/>
      <c r="K69" s="79" t="s">
        <v>104</v>
      </c>
      <c r="L69" s="84"/>
      <c r="M69" s="84"/>
      <c r="N69" s="84"/>
      <c r="O69" s="84"/>
      <c r="P69" s="84"/>
      <c r="Q69" s="84"/>
    </row>
    <row r="71" spans="1:17" ht="14.25" customHeight="1" x14ac:dyDescent="0.2">
      <c r="A71" s="199" t="s">
        <v>92</v>
      </c>
      <c r="B71" s="465">
        <f>V14</f>
        <v>22.578420600240001</v>
      </c>
      <c r="C71" s="371" t="s">
        <v>93</v>
      </c>
      <c r="D71" s="383">
        <f>D61</f>
        <v>0</v>
      </c>
      <c r="E71" s="371" t="s">
        <v>94</v>
      </c>
      <c r="F71" s="558"/>
      <c r="G71" s="384" t="s">
        <v>96</v>
      </c>
      <c r="K71" s="199" t="s">
        <v>92</v>
      </c>
      <c r="L71" s="465">
        <f>V14</f>
        <v>22.578420600240001</v>
      </c>
      <c r="M71" s="371" t="s">
        <v>93</v>
      </c>
      <c r="N71" s="383">
        <f>N61</f>
        <v>2951267.7600000007</v>
      </c>
      <c r="O71" s="371" t="s">
        <v>94</v>
      </c>
      <c r="P71" s="558"/>
      <c r="Q71" s="384" t="s">
        <v>96</v>
      </c>
    </row>
    <row r="72" spans="1:17" ht="14.25" customHeight="1" x14ac:dyDescent="0.25">
      <c r="A72" s="84"/>
      <c r="B72" s="385"/>
      <c r="C72" s="386" t="s">
        <v>94</v>
      </c>
      <c r="D72" s="561"/>
      <c r="E72" s="193" t="s">
        <v>65</v>
      </c>
      <c r="F72" s="209">
        <v>2000</v>
      </c>
      <c r="G72" s="387" t="s">
        <v>93</v>
      </c>
      <c r="K72" s="84"/>
      <c r="L72" s="385"/>
      <c r="M72" s="386" t="s">
        <v>94</v>
      </c>
      <c r="N72" s="561"/>
      <c r="O72" s="193" t="s">
        <v>65</v>
      </c>
      <c r="P72" s="209">
        <v>2000</v>
      </c>
      <c r="Q72" s="387" t="s">
        <v>93</v>
      </c>
    </row>
    <row r="75" spans="1:17" ht="14.25" customHeight="1" x14ac:dyDescent="0.2">
      <c r="A75" s="199" t="s">
        <v>92</v>
      </c>
      <c r="B75" s="392">
        <f>B71*D71/F72</f>
        <v>0</v>
      </c>
      <c r="C75" s="202" t="s">
        <v>96</v>
      </c>
      <c r="D75" s="199" t="s">
        <v>92</v>
      </c>
      <c r="E75" s="392">
        <f>B75*(2000/8760)</f>
        <v>0</v>
      </c>
      <c r="F75" s="202" t="s">
        <v>93</v>
      </c>
      <c r="G75" s="84"/>
      <c r="K75" s="199" t="s">
        <v>92</v>
      </c>
      <c r="L75" s="392">
        <f>L71*N71/P72</f>
        <v>33317.482394604092</v>
      </c>
      <c r="M75" s="202" t="s">
        <v>96</v>
      </c>
      <c r="N75" s="199" t="s">
        <v>92</v>
      </c>
      <c r="O75" s="392">
        <f>L75*(2000/8760)</f>
        <v>7606.7311403205686</v>
      </c>
      <c r="P75" s="202" t="s">
        <v>93</v>
      </c>
      <c r="Q75" s="84"/>
    </row>
    <row r="76" spans="1:17" ht="14.25" customHeight="1" x14ac:dyDescent="0.2">
      <c r="A76" s="84"/>
      <c r="B76" s="84"/>
      <c r="C76" s="194" t="s">
        <v>65</v>
      </c>
      <c r="D76" s="84"/>
      <c r="E76" s="84"/>
      <c r="F76" s="194" t="s">
        <v>98</v>
      </c>
      <c r="G76" s="84"/>
      <c r="K76" s="84"/>
      <c r="L76" s="84"/>
      <c r="M76" s="194" t="s">
        <v>65</v>
      </c>
      <c r="N76" s="84"/>
      <c r="O76" s="84"/>
      <c r="P76" s="194" t="s">
        <v>98</v>
      </c>
      <c r="Q76" s="84"/>
    </row>
  </sheetData>
  <mergeCells count="56">
    <mergeCell ref="H61:I61"/>
    <mergeCell ref="R61:S61"/>
    <mergeCell ref="B62:C62"/>
    <mergeCell ref="D62:E62"/>
    <mergeCell ref="F62:G62"/>
    <mergeCell ref="L62:M62"/>
    <mergeCell ref="N62:O62"/>
    <mergeCell ref="P62:Q62"/>
    <mergeCell ref="H53:I53"/>
    <mergeCell ref="R53:S53"/>
    <mergeCell ref="B54:C54"/>
    <mergeCell ref="D54:E54"/>
    <mergeCell ref="F54:G54"/>
    <mergeCell ref="L54:M54"/>
    <mergeCell ref="N54:O54"/>
    <mergeCell ref="P54:Q54"/>
    <mergeCell ref="H45:I45"/>
    <mergeCell ref="R45:S45"/>
    <mergeCell ref="B46:C46"/>
    <mergeCell ref="D46:E46"/>
    <mergeCell ref="F46:G46"/>
    <mergeCell ref="L46:M46"/>
    <mergeCell ref="N46:O46"/>
    <mergeCell ref="P46:Q46"/>
    <mergeCell ref="H37:I37"/>
    <mergeCell ref="R37:S37"/>
    <mergeCell ref="B38:C38"/>
    <mergeCell ref="D38:E38"/>
    <mergeCell ref="F38:G38"/>
    <mergeCell ref="L38:M38"/>
    <mergeCell ref="N38:O38"/>
    <mergeCell ref="P38:Q38"/>
    <mergeCell ref="H27:I27"/>
    <mergeCell ref="R27:S27"/>
    <mergeCell ref="B28:C28"/>
    <mergeCell ref="D28:E28"/>
    <mergeCell ref="F28:G28"/>
    <mergeCell ref="L28:M28"/>
    <mergeCell ref="N28:O28"/>
    <mergeCell ref="P28:Q28"/>
    <mergeCell ref="D13:H13"/>
    <mergeCell ref="N13:R13"/>
    <mergeCell ref="H19:I19"/>
    <mergeCell ref="R19:S19"/>
    <mergeCell ref="B20:C20"/>
    <mergeCell ref="D20:E20"/>
    <mergeCell ref="F20:G20"/>
    <mergeCell ref="L20:M20"/>
    <mergeCell ref="N20:O20"/>
    <mergeCell ref="P20:Q20"/>
    <mergeCell ref="A1:I1"/>
    <mergeCell ref="K1:S1"/>
    <mergeCell ref="A3:D3"/>
    <mergeCell ref="K3:N3"/>
    <mergeCell ref="A4:D4"/>
    <mergeCell ref="K4:N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84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1" width="16.140625" customWidth="1"/>
    <col min="2" max="2" width="12.140625" customWidth="1"/>
    <col min="4" max="4" width="9.85546875" customWidth="1"/>
    <col min="10" max="10" width="4" customWidth="1"/>
    <col min="11" max="11" width="11.42578125" customWidth="1"/>
    <col min="14" max="14" width="9.85546875" customWidth="1"/>
    <col min="19" max="19" width="6.7109375" customWidth="1"/>
  </cols>
  <sheetData>
    <row r="1" spans="1:23" ht="14.25" customHeight="1" x14ac:dyDescent="0.2">
      <c r="A1" s="571" t="s">
        <v>357</v>
      </c>
      <c r="B1" s="571"/>
      <c r="C1" s="571"/>
      <c r="D1" s="571"/>
      <c r="E1" s="571"/>
      <c r="F1" s="571"/>
      <c r="G1" s="571"/>
      <c r="H1" s="571"/>
      <c r="I1" s="571"/>
      <c r="J1" s="571"/>
      <c r="K1" s="571" t="s">
        <v>358</v>
      </c>
      <c r="L1" s="571"/>
      <c r="M1" s="571"/>
      <c r="N1" s="571"/>
      <c r="O1" s="571"/>
      <c r="P1" s="571"/>
      <c r="Q1" s="571"/>
      <c r="R1" s="571"/>
      <c r="S1" s="571"/>
      <c r="T1" s="79"/>
    </row>
    <row r="3" spans="1:23" ht="14.25" customHeight="1" x14ac:dyDescent="0.2">
      <c r="A3" s="605" t="s">
        <v>359</v>
      </c>
      <c r="B3" s="605"/>
      <c r="C3" s="605"/>
      <c r="D3" s="605"/>
      <c r="E3" s="84"/>
      <c r="F3" s="84"/>
      <c r="G3" s="84"/>
      <c r="H3" s="84"/>
      <c r="I3" s="84"/>
      <c r="J3" s="84"/>
      <c r="K3" s="605" t="s">
        <v>359</v>
      </c>
      <c r="L3" s="605"/>
      <c r="M3" s="605"/>
      <c r="N3" s="605"/>
      <c r="O3" s="84"/>
      <c r="P3" s="84"/>
      <c r="Q3" s="84"/>
      <c r="R3" s="84"/>
      <c r="S3" s="84"/>
      <c r="T3" s="84"/>
    </row>
    <row r="4" spans="1:23" ht="14.25" customHeight="1" x14ac:dyDescent="0.2">
      <c r="A4" s="606" t="s">
        <v>353</v>
      </c>
      <c r="B4" s="606"/>
      <c r="C4" s="606"/>
      <c r="D4" s="606"/>
      <c r="E4" s="84"/>
      <c r="F4" s="84"/>
      <c r="G4" s="84"/>
      <c r="H4" s="84"/>
      <c r="I4" s="84"/>
      <c r="J4" s="84"/>
      <c r="K4" s="606" t="s">
        <v>353</v>
      </c>
      <c r="L4" s="606"/>
      <c r="M4" s="606"/>
      <c r="N4" s="606"/>
      <c r="O4" s="84"/>
      <c r="P4" s="84"/>
      <c r="Q4" s="84"/>
      <c r="R4" s="84"/>
      <c r="S4" s="84"/>
      <c r="T4" s="84"/>
    </row>
    <row r="5" spans="1:23" ht="14.25" customHeight="1" x14ac:dyDescent="0.2">
      <c r="A5" s="503" t="s">
        <v>18</v>
      </c>
      <c r="B5" s="504">
        <v>1.2E-2</v>
      </c>
      <c r="C5" s="504" t="s">
        <v>354</v>
      </c>
      <c r="D5" s="303"/>
      <c r="E5" s="84"/>
      <c r="F5" s="84"/>
      <c r="G5" s="84"/>
      <c r="H5" s="84"/>
      <c r="I5" s="84"/>
      <c r="J5" s="84"/>
      <c r="K5" s="503" t="s">
        <v>18</v>
      </c>
      <c r="L5" s="504">
        <v>1.2E-2</v>
      </c>
      <c r="M5" s="504" t="s">
        <v>354</v>
      </c>
      <c r="N5" s="303"/>
      <c r="O5" s="84"/>
      <c r="P5" s="84"/>
      <c r="Q5" s="84"/>
      <c r="R5" s="84"/>
      <c r="S5" s="84"/>
      <c r="T5" s="84"/>
    </row>
    <row r="6" spans="1:23" ht="14.25" customHeight="1" x14ac:dyDescent="0.2">
      <c r="A6" s="505" t="s">
        <v>41</v>
      </c>
      <c r="B6" s="373">
        <v>1.01</v>
      </c>
      <c r="C6" s="373" t="s">
        <v>355</v>
      </c>
      <c r="D6" s="307"/>
      <c r="E6" s="84"/>
      <c r="F6" s="84"/>
      <c r="G6" s="84"/>
      <c r="H6" s="84"/>
      <c r="I6" s="84"/>
      <c r="J6" s="84"/>
      <c r="K6" s="505" t="s">
        <v>41</v>
      </c>
      <c r="L6" s="373">
        <v>1.01</v>
      </c>
      <c r="M6" s="373" t="s">
        <v>355</v>
      </c>
      <c r="N6" s="307"/>
      <c r="O6" s="84"/>
      <c r="P6" s="84"/>
      <c r="Q6" s="84"/>
      <c r="R6" s="84"/>
      <c r="S6" s="84"/>
      <c r="T6" s="84"/>
    </row>
    <row r="7" spans="1:23" ht="14.25" customHeight="1" x14ac:dyDescent="0.2">
      <c r="A7" s="505" t="s">
        <v>20</v>
      </c>
      <c r="B7" s="373">
        <v>0.88</v>
      </c>
      <c r="C7" s="373" t="s">
        <v>354</v>
      </c>
      <c r="D7" s="307"/>
      <c r="E7" s="84"/>
      <c r="F7" s="84"/>
      <c r="G7" s="84"/>
      <c r="H7" s="84"/>
      <c r="I7" s="84"/>
      <c r="J7" s="84"/>
      <c r="K7" s="505" t="s">
        <v>20</v>
      </c>
      <c r="L7" s="373">
        <v>0.88</v>
      </c>
      <c r="M7" s="373" t="s">
        <v>354</v>
      </c>
      <c r="N7" s="307"/>
      <c r="O7" s="84"/>
      <c r="P7" s="84"/>
      <c r="Q7" s="84"/>
      <c r="R7" s="84"/>
      <c r="S7" s="84"/>
      <c r="T7" s="84"/>
    </row>
    <row r="8" spans="1:23" ht="14.25" customHeight="1" x14ac:dyDescent="0.2">
      <c r="A8" s="505" t="s">
        <v>22</v>
      </c>
      <c r="B8" s="373">
        <v>4.0999999999999999E-4</v>
      </c>
      <c r="C8" s="373" t="s">
        <v>354</v>
      </c>
      <c r="D8" s="307"/>
      <c r="E8" s="84"/>
      <c r="F8" s="84"/>
      <c r="G8" s="84"/>
      <c r="H8" s="84"/>
      <c r="I8" s="84"/>
      <c r="J8" s="84"/>
      <c r="K8" s="505" t="s">
        <v>22</v>
      </c>
      <c r="L8" s="373">
        <v>4.0999999999999999E-4</v>
      </c>
      <c r="M8" s="373" t="s">
        <v>354</v>
      </c>
      <c r="N8" s="307"/>
      <c r="O8" s="84"/>
      <c r="P8" s="84"/>
      <c r="Q8" s="84"/>
      <c r="R8" s="84"/>
      <c r="S8" s="84"/>
      <c r="T8" s="84"/>
    </row>
    <row r="9" spans="1:23" ht="14.25" customHeight="1" x14ac:dyDescent="0.2">
      <c r="A9" s="505" t="s">
        <v>21</v>
      </c>
      <c r="B9" s="373">
        <v>3.3E-3</v>
      </c>
      <c r="C9" s="373" t="s">
        <v>354</v>
      </c>
      <c r="D9" s="307"/>
      <c r="E9" s="84"/>
      <c r="F9" s="84"/>
      <c r="G9" s="84"/>
      <c r="H9" s="84"/>
      <c r="I9" s="84"/>
      <c r="J9" s="84"/>
      <c r="K9" s="505" t="s">
        <v>21</v>
      </c>
      <c r="L9" s="373">
        <v>3.3E-3</v>
      </c>
      <c r="M9" s="373" t="s">
        <v>354</v>
      </c>
      <c r="N9" s="307"/>
      <c r="O9" s="84"/>
      <c r="P9" s="84"/>
      <c r="Q9" s="84"/>
      <c r="R9" s="84"/>
      <c r="S9" s="84"/>
      <c r="T9" s="84"/>
    </row>
    <row r="10" spans="1:23" ht="14.25" customHeight="1" x14ac:dyDescent="0.2">
      <c r="A10" s="506" t="s">
        <v>23</v>
      </c>
      <c r="B10" s="374">
        <v>1.4E-5</v>
      </c>
      <c r="C10" s="374" t="s">
        <v>354</v>
      </c>
      <c r="D10" s="313"/>
      <c r="E10" s="84"/>
      <c r="F10" s="84"/>
      <c r="G10" s="84"/>
      <c r="H10" s="84"/>
      <c r="I10" s="84"/>
      <c r="J10" s="84"/>
      <c r="K10" s="506" t="s">
        <v>23</v>
      </c>
      <c r="L10" s="374">
        <v>1.4E-5</v>
      </c>
      <c r="M10" s="374" t="s">
        <v>354</v>
      </c>
      <c r="N10" s="313"/>
      <c r="O10" s="84"/>
      <c r="P10" s="84"/>
      <c r="Q10" s="84"/>
      <c r="R10" s="84"/>
      <c r="S10" s="84"/>
      <c r="T10" s="84"/>
    </row>
    <row r="11" spans="1:23" ht="14.25" customHeight="1" x14ac:dyDescent="0.2">
      <c r="A11" s="463" t="s">
        <v>24</v>
      </c>
      <c r="B11" s="464" t="s">
        <v>242</v>
      </c>
      <c r="C11" s="377" t="s">
        <v>241</v>
      </c>
      <c r="D11" s="84"/>
      <c r="E11" s="84"/>
      <c r="F11" s="84"/>
      <c r="G11" s="84"/>
      <c r="H11" s="84"/>
      <c r="I11" s="84"/>
      <c r="K11" s="463" t="s">
        <v>24</v>
      </c>
      <c r="L11" s="464" t="s">
        <v>242</v>
      </c>
      <c r="M11" s="377" t="s">
        <v>241</v>
      </c>
    </row>
    <row r="13" spans="1:23" ht="14.25" customHeight="1" x14ac:dyDescent="0.2">
      <c r="A13" s="84" t="s">
        <v>326</v>
      </c>
      <c r="B13" s="481">
        <f>Turbinas!B17</f>
        <v>0</v>
      </c>
      <c r="C13" s="84" t="s">
        <v>89</v>
      </c>
      <c r="D13" s="84"/>
      <c r="E13" s="84"/>
      <c r="F13" s="84"/>
      <c r="G13" s="84"/>
      <c r="H13" s="84"/>
      <c r="I13" s="84"/>
      <c r="J13" s="84"/>
      <c r="K13" s="84" t="s">
        <v>326</v>
      </c>
      <c r="L13" s="481">
        <f>Turbinas!C17</f>
        <v>0</v>
      </c>
      <c r="M13" s="84" t="s">
        <v>89</v>
      </c>
      <c r="N13" s="84"/>
      <c r="O13" s="84"/>
      <c r="P13" s="84"/>
      <c r="Q13" s="84"/>
      <c r="R13" s="84"/>
      <c r="S13" s="84"/>
      <c r="T13" s="84"/>
    </row>
    <row r="14" spans="1:23" ht="14.25" customHeight="1" x14ac:dyDescent="0.2">
      <c r="A14" s="84" t="s">
        <v>63</v>
      </c>
      <c r="B14" s="196">
        <f>Turbinas!AC17</f>
        <v>0.01</v>
      </c>
      <c r="C14" s="84"/>
      <c r="D14" s="84"/>
      <c r="E14" s="84"/>
      <c r="F14" s="84"/>
      <c r="G14" s="84"/>
      <c r="H14" s="84"/>
      <c r="I14" s="84"/>
      <c r="J14" s="84"/>
      <c r="K14" s="84" t="s">
        <v>63</v>
      </c>
      <c r="L14" s="196">
        <f>Turbinas!AD17</f>
        <v>0.01</v>
      </c>
      <c r="M14" s="84"/>
      <c r="N14" s="84"/>
      <c r="O14" s="84"/>
      <c r="P14" s="84"/>
      <c r="Q14" s="84"/>
      <c r="R14" s="84"/>
      <c r="S14" s="84"/>
      <c r="T14" s="84"/>
      <c r="V14">
        <f>(73.96+0.003*25+0.0006*298)*2.2046*0.138</f>
        <v>22.578420600240001</v>
      </c>
      <c r="W14" t="s">
        <v>119</v>
      </c>
    </row>
    <row r="17" spans="1:20" ht="14.25" customHeight="1" x14ac:dyDescent="0.2">
      <c r="A17" s="84" t="s">
        <v>191</v>
      </c>
      <c r="B17" s="84"/>
      <c r="C17" s="84"/>
      <c r="D17" s="84"/>
      <c r="E17" s="84"/>
      <c r="F17" s="84"/>
      <c r="G17" s="84"/>
      <c r="H17" s="84"/>
      <c r="I17" s="84"/>
      <c r="J17" s="84"/>
      <c r="K17" s="84" t="s">
        <v>191</v>
      </c>
      <c r="L17" s="84"/>
      <c r="M17" s="84"/>
      <c r="N17" s="84"/>
      <c r="O17" s="84"/>
      <c r="P17" s="84"/>
      <c r="Q17" s="84"/>
      <c r="R17" s="84"/>
      <c r="S17" s="84"/>
      <c r="T17" s="84"/>
    </row>
    <row r="19" spans="1:20" ht="14.25" customHeight="1" x14ac:dyDescent="0.2">
      <c r="A19" s="199" t="s">
        <v>92</v>
      </c>
      <c r="B19" s="382">
        <v>1.2E-2</v>
      </c>
      <c r="C19" s="371" t="s">
        <v>93</v>
      </c>
      <c r="D19" s="383">
        <f>B13</f>
        <v>0</v>
      </c>
      <c r="E19" s="371" t="s">
        <v>94</v>
      </c>
      <c r="F19" s="382">
        <v>0.13800000000000001</v>
      </c>
      <c r="G19" s="371" t="s">
        <v>95</v>
      </c>
      <c r="H19" s="591" t="s">
        <v>96</v>
      </c>
      <c r="I19" s="591"/>
      <c r="J19" s="84"/>
      <c r="K19" s="199" t="s">
        <v>92</v>
      </c>
      <c r="L19" s="382">
        <v>1.2E-2</v>
      </c>
      <c r="M19" s="371" t="s">
        <v>93</v>
      </c>
      <c r="N19" s="383">
        <f>L13</f>
        <v>0</v>
      </c>
      <c r="O19" s="371" t="s">
        <v>94</v>
      </c>
      <c r="P19" s="382">
        <v>0.13800000000000001</v>
      </c>
      <c r="Q19" s="371" t="s">
        <v>95</v>
      </c>
      <c r="R19" s="591" t="s">
        <v>96</v>
      </c>
      <c r="S19" s="591"/>
      <c r="T19" s="84"/>
    </row>
    <row r="20" spans="1:20" ht="14.25" customHeight="1" x14ac:dyDescent="0.2">
      <c r="A20" s="84"/>
      <c r="B20" s="596" t="s">
        <v>95</v>
      </c>
      <c r="C20" s="596"/>
      <c r="D20" s="596" t="s">
        <v>65</v>
      </c>
      <c r="E20" s="596"/>
      <c r="F20" s="596" t="s">
        <v>94</v>
      </c>
      <c r="G20" s="596"/>
      <c r="H20" s="209">
        <v>2000</v>
      </c>
      <c r="I20" s="84" t="s">
        <v>93</v>
      </c>
      <c r="J20" s="84"/>
      <c r="K20" s="84"/>
      <c r="L20" s="596" t="s">
        <v>95</v>
      </c>
      <c r="M20" s="596"/>
      <c r="N20" s="596" t="s">
        <v>65</v>
      </c>
      <c r="O20" s="596"/>
      <c r="P20" s="596" t="s">
        <v>94</v>
      </c>
      <c r="Q20" s="596"/>
      <c r="R20" s="209">
        <v>2000</v>
      </c>
      <c r="S20" s="84" t="s">
        <v>93</v>
      </c>
      <c r="T20" s="84"/>
    </row>
    <row r="23" spans="1:20" ht="14.25" customHeight="1" x14ac:dyDescent="0.2">
      <c r="A23" s="199" t="s">
        <v>92</v>
      </c>
      <c r="B23" s="388">
        <f>(B19*D19*F19)/H20</f>
        <v>0</v>
      </c>
      <c r="C23" s="202" t="s">
        <v>96</v>
      </c>
      <c r="D23" s="84"/>
      <c r="E23" s="84" t="s">
        <v>92</v>
      </c>
      <c r="F23" s="388">
        <f>B23*2000/8760</f>
        <v>0</v>
      </c>
      <c r="G23" s="371" t="s">
        <v>137</v>
      </c>
      <c r="H23" s="84"/>
      <c r="I23" s="84"/>
      <c r="J23" s="84"/>
      <c r="K23" s="199" t="s">
        <v>92</v>
      </c>
      <c r="L23" s="388">
        <f>(L19*N19*P19)/R20</f>
        <v>0</v>
      </c>
      <c r="M23" s="202" t="s">
        <v>96</v>
      </c>
      <c r="N23" s="84"/>
      <c r="O23" s="84" t="s">
        <v>92</v>
      </c>
      <c r="P23" s="388">
        <f>L23*2000/8760</f>
        <v>0</v>
      </c>
      <c r="Q23" s="371" t="s">
        <v>137</v>
      </c>
      <c r="R23" s="84"/>
      <c r="S23" s="84"/>
      <c r="T23" s="84"/>
    </row>
    <row r="24" spans="1:20" ht="14.25" customHeight="1" x14ac:dyDescent="0.2">
      <c r="A24" s="84"/>
      <c r="B24" s="84"/>
      <c r="C24" s="194" t="s">
        <v>65</v>
      </c>
      <c r="D24" s="84"/>
      <c r="E24" s="84"/>
      <c r="F24" s="84"/>
      <c r="G24" s="456" t="s">
        <v>98</v>
      </c>
      <c r="H24" s="84"/>
      <c r="I24" s="84"/>
      <c r="J24" s="84"/>
      <c r="K24" s="84"/>
      <c r="L24" s="84"/>
      <c r="M24" s="194" t="s">
        <v>65</v>
      </c>
      <c r="N24" s="84"/>
      <c r="O24" s="84"/>
      <c r="P24" s="84"/>
      <c r="Q24" s="456" t="s">
        <v>98</v>
      </c>
      <c r="R24" s="84"/>
      <c r="S24" s="84"/>
      <c r="T24" s="84"/>
    </row>
    <row r="27" spans="1:20" ht="14.25" customHeight="1" x14ac:dyDescent="0.2">
      <c r="A27" s="84" t="s">
        <v>99</v>
      </c>
      <c r="B27" s="84"/>
      <c r="C27" s="84"/>
      <c r="D27" s="84"/>
      <c r="E27" s="84"/>
      <c r="F27" s="84"/>
      <c r="G27" s="84"/>
      <c r="H27" s="84"/>
      <c r="I27" s="84"/>
      <c r="J27" s="84"/>
      <c r="K27" s="84" t="s">
        <v>99</v>
      </c>
      <c r="L27" s="84"/>
      <c r="M27" s="84"/>
      <c r="N27" s="84"/>
      <c r="O27" s="84"/>
      <c r="P27" s="84"/>
      <c r="Q27" s="84"/>
      <c r="R27" s="84"/>
      <c r="S27" s="84"/>
      <c r="T27" s="84"/>
    </row>
    <row r="29" spans="1:20" ht="14.25" customHeight="1" x14ac:dyDescent="0.2">
      <c r="A29" s="199" t="s">
        <v>92</v>
      </c>
      <c r="B29" s="391">
        <f>B6*B14</f>
        <v>1.01E-2</v>
      </c>
      <c r="C29" s="371" t="s">
        <v>93</v>
      </c>
      <c r="D29" s="383">
        <f>B13</f>
        <v>0</v>
      </c>
      <c r="E29" s="371" t="s">
        <v>94</v>
      </c>
      <c r="F29" s="382">
        <v>0.13800000000000001</v>
      </c>
      <c r="G29" s="371" t="s">
        <v>95</v>
      </c>
      <c r="H29" s="591" t="s">
        <v>96</v>
      </c>
      <c r="I29" s="591"/>
      <c r="J29" s="84"/>
      <c r="K29" s="199" t="s">
        <v>92</v>
      </c>
      <c r="L29" s="391">
        <f>L6*L14</f>
        <v>1.01E-2</v>
      </c>
      <c r="M29" s="371" t="s">
        <v>93</v>
      </c>
      <c r="N29" s="383">
        <f>L13</f>
        <v>0</v>
      </c>
      <c r="O29" s="371" t="s">
        <v>94</v>
      </c>
      <c r="P29" s="382">
        <v>0.13800000000000001</v>
      </c>
      <c r="Q29" s="371" t="s">
        <v>95</v>
      </c>
      <c r="R29" s="591" t="s">
        <v>96</v>
      </c>
      <c r="S29" s="591"/>
      <c r="T29" s="84"/>
    </row>
    <row r="30" spans="1:20" ht="14.25" customHeight="1" x14ac:dyDescent="0.2">
      <c r="A30" s="84"/>
      <c r="B30" s="596" t="s">
        <v>95</v>
      </c>
      <c r="C30" s="596"/>
      <c r="D30" s="596" t="s">
        <v>65</v>
      </c>
      <c r="E30" s="596"/>
      <c r="F30" s="596" t="s">
        <v>94</v>
      </c>
      <c r="G30" s="596"/>
      <c r="H30" s="209">
        <v>2000</v>
      </c>
      <c r="I30" s="84" t="s">
        <v>93</v>
      </c>
      <c r="J30" s="84"/>
      <c r="K30" s="84"/>
      <c r="L30" s="596" t="s">
        <v>95</v>
      </c>
      <c r="M30" s="596"/>
      <c r="N30" s="596" t="s">
        <v>65</v>
      </c>
      <c r="O30" s="596"/>
      <c r="P30" s="596" t="s">
        <v>94</v>
      </c>
      <c r="Q30" s="596"/>
      <c r="R30" s="209">
        <v>2000</v>
      </c>
      <c r="S30" s="84" t="s">
        <v>93</v>
      </c>
      <c r="T30" s="84"/>
    </row>
    <row r="33" spans="1:20" ht="14.25" customHeight="1" x14ac:dyDescent="0.2">
      <c r="A33" s="199" t="s">
        <v>92</v>
      </c>
      <c r="B33" s="388">
        <f>(B29*D29*F29)/H30</f>
        <v>0</v>
      </c>
      <c r="C33" s="202" t="s">
        <v>96</v>
      </c>
      <c r="D33" s="84"/>
      <c r="E33" s="84" t="s">
        <v>92</v>
      </c>
      <c r="F33" s="388">
        <f>B33*2000/8760</f>
        <v>0</v>
      </c>
      <c r="G33" s="371" t="s">
        <v>137</v>
      </c>
      <c r="H33" s="84"/>
      <c r="I33" s="84"/>
      <c r="J33" s="84"/>
      <c r="K33" s="199" t="s">
        <v>92</v>
      </c>
      <c r="L33" s="388">
        <f>(L29*N29*P29)/R30</f>
        <v>0</v>
      </c>
      <c r="M33" s="202" t="s">
        <v>96</v>
      </c>
      <c r="N33" s="84"/>
      <c r="O33" s="84" t="s">
        <v>92</v>
      </c>
      <c r="P33" s="388">
        <f>L33*2000/8760</f>
        <v>0</v>
      </c>
      <c r="Q33" s="371" t="s">
        <v>137</v>
      </c>
      <c r="R33" s="84"/>
      <c r="S33" s="84"/>
      <c r="T33" s="84"/>
    </row>
    <row r="34" spans="1:20" ht="14.25" customHeight="1" x14ac:dyDescent="0.2">
      <c r="A34" s="84"/>
      <c r="B34" s="84"/>
      <c r="C34" s="194" t="s">
        <v>65</v>
      </c>
      <c r="D34" s="84"/>
      <c r="E34" s="84"/>
      <c r="F34" s="84"/>
      <c r="G34" s="456" t="s">
        <v>98</v>
      </c>
      <c r="H34" s="84"/>
      <c r="I34" s="84"/>
      <c r="J34" s="84"/>
      <c r="K34" s="84"/>
      <c r="L34" s="84"/>
      <c r="M34" s="194" t="s">
        <v>65</v>
      </c>
      <c r="N34" s="84"/>
      <c r="O34" s="84"/>
      <c r="P34" s="84"/>
      <c r="Q34" s="456" t="s">
        <v>98</v>
      </c>
      <c r="R34" s="84"/>
      <c r="S34" s="84"/>
      <c r="T34" s="84"/>
    </row>
    <row r="37" spans="1:20" ht="14.25" customHeight="1" x14ac:dyDescent="0.2">
      <c r="A37" s="84" t="s">
        <v>100</v>
      </c>
      <c r="B37" s="84"/>
      <c r="C37" s="84"/>
      <c r="D37" s="84"/>
      <c r="E37" s="84"/>
      <c r="F37" s="84"/>
      <c r="G37" s="84"/>
      <c r="H37" s="84"/>
      <c r="I37" s="84"/>
      <c r="J37" s="84"/>
      <c r="K37" s="84" t="s">
        <v>100</v>
      </c>
      <c r="L37" s="84"/>
      <c r="M37" s="84"/>
      <c r="N37" s="84"/>
      <c r="O37" s="84"/>
      <c r="P37" s="84"/>
      <c r="Q37" s="84"/>
      <c r="R37" s="84"/>
      <c r="S37" s="84"/>
      <c r="T37" s="84"/>
    </row>
    <row r="39" spans="1:20" ht="14.25" customHeight="1" x14ac:dyDescent="0.2">
      <c r="A39" s="199" t="s">
        <v>92</v>
      </c>
      <c r="B39" s="382">
        <v>0.88</v>
      </c>
      <c r="C39" s="371" t="s">
        <v>93</v>
      </c>
      <c r="D39" s="383">
        <f>B13</f>
        <v>0</v>
      </c>
      <c r="E39" s="371" t="s">
        <v>94</v>
      </c>
      <c r="F39" s="382">
        <v>0.13800000000000001</v>
      </c>
      <c r="G39" s="371" t="s">
        <v>95</v>
      </c>
      <c r="H39" s="591" t="s">
        <v>96</v>
      </c>
      <c r="I39" s="591"/>
      <c r="J39" s="84"/>
      <c r="K39" s="199" t="s">
        <v>92</v>
      </c>
      <c r="L39" s="382">
        <v>0.88</v>
      </c>
      <c r="M39" s="371" t="s">
        <v>93</v>
      </c>
      <c r="N39" s="383">
        <f>L13</f>
        <v>0</v>
      </c>
      <c r="O39" s="371" t="s">
        <v>94</v>
      </c>
      <c r="P39" s="382">
        <v>0.13800000000000001</v>
      </c>
      <c r="Q39" s="371" t="s">
        <v>95</v>
      </c>
      <c r="R39" s="591" t="s">
        <v>96</v>
      </c>
      <c r="S39" s="591"/>
      <c r="T39" s="84"/>
    </row>
    <row r="40" spans="1:20" ht="14.25" customHeight="1" x14ac:dyDescent="0.2">
      <c r="A40" s="84"/>
      <c r="B40" s="596" t="s">
        <v>95</v>
      </c>
      <c r="C40" s="596"/>
      <c r="D40" s="596" t="s">
        <v>65</v>
      </c>
      <c r="E40" s="596"/>
      <c r="F40" s="596" t="s">
        <v>94</v>
      </c>
      <c r="G40" s="596"/>
      <c r="H40" s="209">
        <v>2000</v>
      </c>
      <c r="I40" s="84" t="s">
        <v>93</v>
      </c>
      <c r="J40" s="84"/>
      <c r="K40" s="84"/>
      <c r="L40" s="596" t="s">
        <v>95</v>
      </c>
      <c r="M40" s="596"/>
      <c r="N40" s="596" t="s">
        <v>65</v>
      </c>
      <c r="O40" s="596"/>
      <c r="P40" s="596" t="s">
        <v>94</v>
      </c>
      <c r="Q40" s="596"/>
      <c r="R40" s="209">
        <v>2000</v>
      </c>
      <c r="S40" s="84" t="s">
        <v>93</v>
      </c>
      <c r="T40" s="84"/>
    </row>
    <row r="43" spans="1:20" ht="14.25" customHeight="1" x14ac:dyDescent="0.2">
      <c r="A43" s="199" t="s">
        <v>92</v>
      </c>
      <c r="B43" s="388">
        <f>(B39*D39*F39)/H40</f>
        <v>0</v>
      </c>
      <c r="C43" s="202" t="s">
        <v>96</v>
      </c>
      <c r="D43" s="84"/>
      <c r="E43" s="84" t="s">
        <v>92</v>
      </c>
      <c r="F43" s="388">
        <f>B43*2000/8760</f>
        <v>0</v>
      </c>
      <c r="G43" s="371" t="s">
        <v>137</v>
      </c>
      <c r="H43" s="84"/>
      <c r="I43" s="84"/>
      <c r="J43" s="84"/>
      <c r="K43" s="199" t="s">
        <v>92</v>
      </c>
      <c r="L43" s="388">
        <f>(L39*N39*P39)/R40</f>
        <v>0</v>
      </c>
      <c r="M43" s="202" t="s">
        <v>96</v>
      </c>
      <c r="N43" s="84"/>
      <c r="O43" s="84" t="s">
        <v>92</v>
      </c>
      <c r="P43" s="388">
        <f>L43*2000/8760</f>
        <v>0</v>
      </c>
      <c r="Q43" s="371" t="s">
        <v>137</v>
      </c>
      <c r="R43" s="84"/>
      <c r="S43" s="84"/>
      <c r="T43" s="84"/>
    </row>
    <row r="44" spans="1:20" ht="14.25" customHeight="1" x14ac:dyDescent="0.2">
      <c r="A44" s="84"/>
      <c r="B44" s="84"/>
      <c r="C44" s="194" t="s">
        <v>65</v>
      </c>
      <c r="D44" s="84"/>
      <c r="E44" s="84"/>
      <c r="F44" s="84"/>
      <c r="G44" s="456" t="s">
        <v>98</v>
      </c>
      <c r="H44" s="84"/>
      <c r="I44" s="84"/>
      <c r="J44" s="84"/>
      <c r="K44" s="84"/>
      <c r="L44" s="84"/>
      <c r="M44" s="194" t="s">
        <v>65</v>
      </c>
      <c r="N44" s="84"/>
      <c r="O44" s="84"/>
      <c r="P44" s="84"/>
      <c r="Q44" s="456" t="s">
        <v>98</v>
      </c>
      <c r="R44" s="84"/>
      <c r="S44" s="84"/>
      <c r="T44" s="84"/>
    </row>
    <row r="45" spans="1:20" ht="14.25" customHeight="1" x14ac:dyDescent="0.2">
      <c r="A45" s="84"/>
      <c r="B45" s="84"/>
      <c r="C45" s="194"/>
      <c r="D45" s="84"/>
      <c r="E45" s="84"/>
      <c r="F45" s="84"/>
      <c r="G45" s="84"/>
      <c r="H45" s="84"/>
      <c r="I45" s="84"/>
      <c r="J45" s="84"/>
      <c r="K45" s="84"/>
      <c r="L45" s="84"/>
      <c r="M45" s="194"/>
      <c r="N45" s="84"/>
      <c r="O45" s="84"/>
      <c r="P45" s="84"/>
      <c r="Q45" s="84"/>
      <c r="R45" s="84"/>
      <c r="S45" s="84"/>
      <c r="T45" s="84"/>
    </row>
    <row r="47" spans="1:20" ht="14.25" customHeight="1" x14ac:dyDescent="0.2">
      <c r="A47" s="84" t="s">
        <v>101</v>
      </c>
      <c r="B47" s="84"/>
      <c r="C47" s="84"/>
      <c r="D47" s="84"/>
      <c r="E47" s="84"/>
      <c r="F47" s="84"/>
      <c r="G47" s="84"/>
      <c r="H47" s="84"/>
      <c r="I47" s="84"/>
      <c r="J47" s="84"/>
      <c r="K47" s="84" t="s">
        <v>101</v>
      </c>
      <c r="L47" s="84"/>
      <c r="M47" s="84"/>
      <c r="N47" s="84"/>
      <c r="O47" s="84"/>
      <c r="P47" s="84"/>
      <c r="Q47" s="84"/>
      <c r="R47" s="84"/>
      <c r="S47" s="84"/>
      <c r="T47" s="84"/>
    </row>
    <row r="49" spans="1:20" ht="14.25" customHeight="1" x14ac:dyDescent="0.2">
      <c r="A49" s="199" t="s">
        <v>92</v>
      </c>
      <c r="B49" s="382">
        <v>4.0999999999999999E-4</v>
      </c>
      <c r="C49" s="371" t="s">
        <v>93</v>
      </c>
      <c r="D49" s="383">
        <f>B13</f>
        <v>0</v>
      </c>
      <c r="E49" s="371" t="s">
        <v>94</v>
      </c>
      <c r="F49" s="382">
        <v>0.13800000000000001</v>
      </c>
      <c r="G49" s="371" t="s">
        <v>95</v>
      </c>
      <c r="H49" s="591" t="s">
        <v>96</v>
      </c>
      <c r="I49" s="591"/>
      <c r="J49" s="84"/>
      <c r="K49" s="199" t="s">
        <v>92</v>
      </c>
      <c r="L49" s="382">
        <v>4.0999999999999999E-4</v>
      </c>
      <c r="M49" s="371" t="s">
        <v>93</v>
      </c>
      <c r="N49" s="383">
        <f>L13</f>
        <v>0</v>
      </c>
      <c r="O49" s="371" t="s">
        <v>94</v>
      </c>
      <c r="P49" s="382">
        <v>0.13800000000000001</v>
      </c>
      <c r="Q49" s="371" t="s">
        <v>95</v>
      </c>
      <c r="R49" s="591" t="s">
        <v>96</v>
      </c>
      <c r="S49" s="591"/>
      <c r="T49" s="84"/>
    </row>
    <row r="50" spans="1:20" ht="14.25" customHeight="1" x14ac:dyDescent="0.2">
      <c r="A50" s="84"/>
      <c r="B50" s="596" t="s">
        <v>95</v>
      </c>
      <c r="C50" s="596"/>
      <c r="D50" s="596" t="s">
        <v>65</v>
      </c>
      <c r="E50" s="596"/>
      <c r="F50" s="596" t="s">
        <v>94</v>
      </c>
      <c r="G50" s="596"/>
      <c r="H50" s="209">
        <v>2000</v>
      </c>
      <c r="I50" s="84" t="s">
        <v>93</v>
      </c>
      <c r="J50" s="84"/>
      <c r="K50" s="84"/>
      <c r="L50" s="596" t="s">
        <v>95</v>
      </c>
      <c r="M50" s="596"/>
      <c r="N50" s="596" t="s">
        <v>65</v>
      </c>
      <c r="O50" s="596"/>
      <c r="P50" s="596" t="s">
        <v>94</v>
      </c>
      <c r="Q50" s="596"/>
      <c r="R50" s="209">
        <v>2000</v>
      </c>
      <c r="S50" s="84" t="s">
        <v>93</v>
      </c>
      <c r="T50" s="84"/>
    </row>
    <row r="53" spans="1:20" ht="14.25" customHeight="1" x14ac:dyDescent="0.2">
      <c r="A53" s="199" t="s">
        <v>92</v>
      </c>
      <c r="B53" s="388">
        <f>(B49*D49*F49)/H50</f>
        <v>0</v>
      </c>
      <c r="C53" s="202" t="s">
        <v>96</v>
      </c>
      <c r="D53" s="84"/>
      <c r="E53" s="84" t="s">
        <v>92</v>
      </c>
      <c r="F53" s="388">
        <f>B53*2000/8760</f>
        <v>0</v>
      </c>
      <c r="G53" s="371" t="s">
        <v>137</v>
      </c>
      <c r="H53" s="84"/>
      <c r="I53" s="84"/>
      <c r="J53" s="84"/>
      <c r="K53" s="199" t="s">
        <v>92</v>
      </c>
      <c r="L53" s="388">
        <f>(L49*N49*P49)/R50</f>
        <v>0</v>
      </c>
      <c r="M53" s="202" t="s">
        <v>96</v>
      </c>
      <c r="N53" s="84"/>
      <c r="O53" s="84" t="s">
        <v>92</v>
      </c>
      <c r="P53" s="388">
        <f>L53*2000/8760</f>
        <v>0</v>
      </c>
      <c r="Q53" s="371" t="s">
        <v>137</v>
      </c>
      <c r="R53" s="84"/>
      <c r="S53" s="84"/>
      <c r="T53" s="84"/>
    </row>
    <row r="54" spans="1:20" ht="14.25" customHeight="1" x14ac:dyDescent="0.2">
      <c r="A54" s="84"/>
      <c r="B54" s="84"/>
      <c r="C54" s="194" t="s">
        <v>65</v>
      </c>
      <c r="D54" s="84"/>
      <c r="E54" s="84"/>
      <c r="F54" s="84"/>
      <c r="G54" s="456" t="s">
        <v>98</v>
      </c>
      <c r="H54" s="84"/>
      <c r="I54" s="84"/>
      <c r="J54" s="84"/>
      <c r="K54" s="84"/>
      <c r="L54" s="84"/>
      <c r="M54" s="194" t="s">
        <v>65</v>
      </c>
      <c r="N54" s="84"/>
      <c r="O54" s="84"/>
      <c r="P54" s="84"/>
      <c r="Q54" s="456" t="s">
        <v>98</v>
      </c>
      <c r="R54" s="84"/>
      <c r="S54" s="84"/>
      <c r="T54" s="84"/>
    </row>
    <row r="57" spans="1:20" ht="14.25" customHeight="1" x14ac:dyDescent="0.2">
      <c r="A57" s="84" t="s">
        <v>102</v>
      </c>
      <c r="B57" s="84"/>
      <c r="C57" s="84"/>
      <c r="D57" s="84"/>
      <c r="E57" s="84"/>
      <c r="F57" s="84"/>
      <c r="G57" s="84"/>
      <c r="H57" s="84"/>
      <c r="I57" s="84"/>
      <c r="J57" s="84"/>
      <c r="K57" s="84" t="s">
        <v>102</v>
      </c>
      <c r="L57" s="84"/>
      <c r="M57" s="84"/>
      <c r="N57" s="84"/>
      <c r="O57" s="84"/>
      <c r="P57" s="84"/>
      <c r="Q57" s="84"/>
      <c r="R57" s="84"/>
      <c r="S57" s="84"/>
      <c r="T57" s="84"/>
    </row>
    <row r="59" spans="1:20" ht="14.25" customHeight="1" x14ac:dyDescent="0.2">
      <c r="A59" s="199" t="s">
        <v>92</v>
      </c>
      <c r="B59" s="382">
        <v>3.3E-3</v>
      </c>
      <c r="C59" s="371" t="s">
        <v>93</v>
      </c>
      <c r="D59" s="383">
        <f>B13</f>
        <v>0</v>
      </c>
      <c r="E59" s="371" t="s">
        <v>94</v>
      </c>
      <c r="F59" s="382">
        <v>0.13800000000000001</v>
      </c>
      <c r="G59" s="371" t="s">
        <v>95</v>
      </c>
      <c r="H59" s="591" t="s">
        <v>96</v>
      </c>
      <c r="I59" s="591"/>
      <c r="J59" s="84"/>
      <c r="K59" s="199" t="s">
        <v>92</v>
      </c>
      <c r="L59" s="382">
        <v>3.3E-3</v>
      </c>
      <c r="M59" s="371" t="s">
        <v>93</v>
      </c>
      <c r="N59" s="383">
        <f>L13</f>
        <v>0</v>
      </c>
      <c r="O59" s="371" t="s">
        <v>94</v>
      </c>
      <c r="P59" s="382">
        <v>0.13800000000000001</v>
      </c>
      <c r="Q59" s="371" t="s">
        <v>95</v>
      </c>
      <c r="R59" s="591" t="s">
        <v>96</v>
      </c>
      <c r="S59" s="591"/>
      <c r="T59" s="84"/>
    </row>
    <row r="60" spans="1:20" ht="14.25" customHeight="1" x14ac:dyDescent="0.2">
      <c r="A60" s="84"/>
      <c r="B60" s="596" t="s">
        <v>95</v>
      </c>
      <c r="C60" s="596"/>
      <c r="D60" s="596" t="s">
        <v>65</v>
      </c>
      <c r="E60" s="596"/>
      <c r="F60" s="596" t="s">
        <v>94</v>
      </c>
      <c r="G60" s="596"/>
      <c r="H60" s="209">
        <v>2000</v>
      </c>
      <c r="I60" s="84" t="s">
        <v>93</v>
      </c>
      <c r="J60" s="84"/>
      <c r="K60" s="84"/>
      <c r="L60" s="596" t="s">
        <v>95</v>
      </c>
      <c r="M60" s="596"/>
      <c r="N60" s="596" t="s">
        <v>65</v>
      </c>
      <c r="O60" s="596"/>
      <c r="P60" s="596" t="s">
        <v>94</v>
      </c>
      <c r="Q60" s="596"/>
      <c r="R60" s="209">
        <v>2000</v>
      </c>
      <c r="S60" s="84" t="s">
        <v>93</v>
      </c>
      <c r="T60" s="84"/>
    </row>
    <row r="63" spans="1:20" ht="14.25" customHeight="1" x14ac:dyDescent="0.2">
      <c r="A63" s="199" t="s">
        <v>92</v>
      </c>
      <c r="B63" s="388">
        <f>(B59*D59*F59)/H60</f>
        <v>0</v>
      </c>
      <c r="C63" s="202" t="s">
        <v>96</v>
      </c>
      <c r="D63" s="84"/>
      <c r="E63" s="84" t="s">
        <v>92</v>
      </c>
      <c r="F63" s="388">
        <f>B63*2000/8760</f>
        <v>0</v>
      </c>
      <c r="G63" s="371" t="s">
        <v>137</v>
      </c>
      <c r="H63" s="84"/>
      <c r="I63" s="84"/>
      <c r="J63" s="84"/>
      <c r="K63" s="199" t="s">
        <v>92</v>
      </c>
      <c r="L63" s="388">
        <f>(L59*N59*P59)/R60</f>
        <v>0</v>
      </c>
      <c r="M63" s="202" t="s">
        <v>96</v>
      </c>
      <c r="N63" s="84"/>
      <c r="O63" s="84" t="s">
        <v>92</v>
      </c>
      <c r="P63" s="388">
        <f>L63*2000/8760</f>
        <v>0</v>
      </c>
      <c r="Q63" s="371" t="s">
        <v>137</v>
      </c>
      <c r="R63" s="84"/>
      <c r="S63" s="84"/>
      <c r="T63" s="84"/>
    </row>
    <row r="64" spans="1:20" ht="14.25" customHeight="1" x14ac:dyDescent="0.2">
      <c r="A64" s="84"/>
      <c r="B64" s="84"/>
      <c r="C64" s="194" t="s">
        <v>65</v>
      </c>
      <c r="D64" s="84"/>
      <c r="E64" s="84"/>
      <c r="F64" s="84"/>
      <c r="G64" s="456" t="s">
        <v>98</v>
      </c>
      <c r="H64" s="84"/>
      <c r="I64" s="84"/>
      <c r="J64" s="84"/>
      <c r="K64" s="84"/>
      <c r="L64" s="84"/>
      <c r="M64" s="194" t="s">
        <v>65</v>
      </c>
      <c r="N64" s="84"/>
      <c r="O64" s="84"/>
      <c r="P64" s="84"/>
      <c r="Q64" s="456" t="s">
        <v>98</v>
      </c>
      <c r="R64" s="84"/>
      <c r="S64" s="84"/>
      <c r="T64" s="84"/>
    </row>
    <row r="67" spans="1:20" ht="14.25" customHeight="1" x14ac:dyDescent="0.2">
      <c r="A67" s="84" t="s">
        <v>103</v>
      </c>
      <c r="B67" s="84"/>
      <c r="C67" s="84"/>
      <c r="D67" s="84"/>
      <c r="E67" s="84"/>
      <c r="F67" s="84"/>
      <c r="G67" s="84"/>
      <c r="H67" s="84"/>
      <c r="I67" s="84"/>
      <c r="J67" s="84"/>
      <c r="K67" s="84" t="s">
        <v>103</v>
      </c>
      <c r="L67" s="84"/>
      <c r="M67" s="84"/>
      <c r="N67" s="84"/>
      <c r="O67" s="84"/>
      <c r="P67" s="84"/>
      <c r="Q67" s="84"/>
      <c r="R67" s="84"/>
      <c r="S67" s="84"/>
      <c r="T67" s="84"/>
    </row>
    <row r="69" spans="1:20" ht="14.25" customHeight="1" x14ac:dyDescent="0.2">
      <c r="A69" s="199" t="s">
        <v>92</v>
      </c>
      <c r="B69" s="382">
        <v>1.4E-5</v>
      </c>
      <c r="C69" s="371" t="s">
        <v>93</v>
      </c>
      <c r="D69" s="383">
        <f>B13</f>
        <v>0</v>
      </c>
      <c r="E69" s="371" t="s">
        <v>94</v>
      </c>
      <c r="F69" s="382">
        <v>0.13800000000000001</v>
      </c>
      <c r="G69" s="371" t="s">
        <v>95</v>
      </c>
      <c r="H69" s="591" t="s">
        <v>96</v>
      </c>
      <c r="I69" s="591"/>
      <c r="J69" s="84"/>
      <c r="K69" s="199" t="s">
        <v>92</v>
      </c>
      <c r="L69" s="382">
        <v>1.4E-5</v>
      </c>
      <c r="M69" s="371" t="s">
        <v>93</v>
      </c>
      <c r="N69" s="383">
        <f>L13</f>
        <v>0</v>
      </c>
      <c r="O69" s="371" t="s">
        <v>94</v>
      </c>
      <c r="P69" s="382">
        <v>0.13800000000000001</v>
      </c>
      <c r="Q69" s="371" t="s">
        <v>95</v>
      </c>
      <c r="R69" s="591" t="s">
        <v>96</v>
      </c>
      <c r="S69" s="591"/>
      <c r="T69" s="84"/>
    </row>
    <row r="70" spans="1:20" ht="14.25" customHeight="1" x14ac:dyDescent="0.2">
      <c r="A70" s="84"/>
      <c r="B70" s="596" t="s">
        <v>95</v>
      </c>
      <c r="C70" s="596"/>
      <c r="D70" s="596" t="s">
        <v>65</v>
      </c>
      <c r="E70" s="596"/>
      <c r="F70" s="596" t="s">
        <v>94</v>
      </c>
      <c r="G70" s="596"/>
      <c r="H70" s="209">
        <v>2000</v>
      </c>
      <c r="I70" s="84" t="s">
        <v>93</v>
      </c>
      <c r="J70" s="84"/>
      <c r="K70" s="84"/>
      <c r="L70" s="596" t="s">
        <v>95</v>
      </c>
      <c r="M70" s="596"/>
      <c r="N70" s="596" t="s">
        <v>65</v>
      </c>
      <c r="O70" s="596"/>
      <c r="P70" s="596" t="s">
        <v>94</v>
      </c>
      <c r="Q70" s="596"/>
      <c r="R70" s="209">
        <v>2000</v>
      </c>
      <c r="S70" s="84" t="s">
        <v>93</v>
      </c>
      <c r="T70" s="84"/>
    </row>
    <row r="73" spans="1:20" ht="14.25" customHeight="1" x14ac:dyDescent="0.2">
      <c r="A73" s="199" t="s">
        <v>92</v>
      </c>
      <c r="B73" s="388">
        <f>(B69*D69*F69)/H70</f>
        <v>0</v>
      </c>
      <c r="C73" s="202" t="s">
        <v>96</v>
      </c>
      <c r="D73" s="84"/>
      <c r="E73" s="84" t="s">
        <v>92</v>
      </c>
      <c r="F73" s="388">
        <f>B73*2000/8760</f>
        <v>0</v>
      </c>
      <c r="G73" s="371" t="s">
        <v>137</v>
      </c>
      <c r="H73" s="84"/>
      <c r="I73" s="84"/>
      <c r="J73" s="84"/>
      <c r="K73" s="199" t="s">
        <v>92</v>
      </c>
      <c r="L73" s="388">
        <f>(L69*N69*P69)/R70</f>
        <v>0</v>
      </c>
      <c r="M73" s="202" t="s">
        <v>96</v>
      </c>
      <c r="N73" s="84"/>
      <c r="O73" s="84" t="s">
        <v>92</v>
      </c>
      <c r="P73" s="388">
        <f>L73*2000/8760</f>
        <v>0</v>
      </c>
      <c r="Q73" s="371" t="s">
        <v>137</v>
      </c>
      <c r="R73" s="84"/>
      <c r="S73" s="84"/>
      <c r="T73" s="84"/>
    </row>
    <row r="74" spans="1:20" ht="14.25" customHeight="1" x14ac:dyDescent="0.2">
      <c r="A74" s="84"/>
      <c r="B74" s="84"/>
      <c r="C74" s="194" t="s">
        <v>65</v>
      </c>
      <c r="D74" s="84"/>
      <c r="E74" s="84"/>
      <c r="F74" s="84"/>
      <c r="G74" s="456" t="s">
        <v>98</v>
      </c>
      <c r="H74" s="84"/>
      <c r="I74" s="84"/>
      <c r="J74" s="84"/>
      <c r="K74" s="84"/>
      <c r="L74" s="84"/>
      <c r="M74" s="194" t="s">
        <v>65</v>
      </c>
      <c r="N74" s="84"/>
      <c r="O74" s="84"/>
      <c r="P74" s="84"/>
      <c r="Q74" s="456" t="s">
        <v>98</v>
      </c>
      <c r="R74" s="84"/>
      <c r="S74" s="84"/>
      <c r="T74" s="84"/>
    </row>
    <row r="77" spans="1:20" ht="14.25" customHeight="1" x14ac:dyDescent="0.2">
      <c r="A77" s="84" t="s">
        <v>104</v>
      </c>
      <c r="B77" s="84"/>
      <c r="C77" s="84"/>
      <c r="D77" s="84"/>
      <c r="E77" s="84"/>
      <c r="F77" s="84"/>
      <c r="G77" s="84"/>
      <c r="K77" s="84" t="s">
        <v>104</v>
      </c>
      <c r="L77" s="84"/>
      <c r="M77" s="84"/>
      <c r="N77" s="84"/>
      <c r="O77" s="84"/>
      <c r="P77" s="84"/>
      <c r="Q77" s="84"/>
    </row>
    <row r="79" spans="1:20" ht="14.25" customHeight="1" x14ac:dyDescent="0.2">
      <c r="A79" s="199" t="s">
        <v>92</v>
      </c>
      <c r="B79" s="465">
        <f>V14</f>
        <v>22.578420600240001</v>
      </c>
      <c r="C79" s="371" t="s">
        <v>93</v>
      </c>
      <c r="D79" s="383">
        <f>D69</f>
        <v>0</v>
      </c>
      <c r="E79" s="371" t="s">
        <v>94</v>
      </c>
      <c r="F79" s="558"/>
      <c r="G79" s="384" t="s">
        <v>96</v>
      </c>
      <c r="K79" s="199" t="s">
        <v>92</v>
      </c>
      <c r="L79" s="465">
        <f>V14</f>
        <v>22.578420600240001</v>
      </c>
      <c r="M79" s="371" t="s">
        <v>93</v>
      </c>
      <c r="N79" s="383">
        <f>N69</f>
        <v>0</v>
      </c>
      <c r="O79" s="371" t="s">
        <v>94</v>
      </c>
      <c r="P79" s="558"/>
      <c r="Q79" s="384" t="s">
        <v>96</v>
      </c>
    </row>
    <row r="80" spans="1:20" ht="14.25" customHeight="1" x14ac:dyDescent="0.25">
      <c r="A80" s="84"/>
      <c r="B80" s="385"/>
      <c r="C80" s="386" t="s">
        <v>94</v>
      </c>
      <c r="D80" s="561"/>
      <c r="E80" s="193" t="s">
        <v>65</v>
      </c>
      <c r="F80" s="209">
        <v>2000</v>
      </c>
      <c r="G80" s="387" t="s">
        <v>93</v>
      </c>
      <c r="K80" s="84"/>
      <c r="L80" s="385"/>
      <c r="M80" s="386" t="s">
        <v>94</v>
      </c>
      <c r="N80" s="561"/>
      <c r="O80" s="193" t="s">
        <v>65</v>
      </c>
      <c r="P80" s="209">
        <v>2000</v>
      </c>
      <c r="Q80" s="387" t="s">
        <v>93</v>
      </c>
    </row>
    <row r="83" spans="1:17" ht="14.25" customHeight="1" x14ac:dyDescent="0.2">
      <c r="A83" s="199" t="s">
        <v>92</v>
      </c>
      <c r="B83" s="392">
        <f>B79*D79/F80</f>
        <v>0</v>
      </c>
      <c r="C83" s="202" t="s">
        <v>96</v>
      </c>
      <c r="D83" s="199" t="s">
        <v>92</v>
      </c>
      <c r="E83" s="392">
        <f>B83*(2000/8760)</f>
        <v>0</v>
      </c>
      <c r="F83" s="202" t="s">
        <v>93</v>
      </c>
      <c r="G83" s="84"/>
      <c r="K83" s="199" t="s">
        <v>92</v>
      </c>
      <c r="L83" s="392">
        <f>L79*N79/P80</f>
        <v>0</v>
      </c>
      <c r="M83" s="202" t="s">
        <v>96</v>
      </c>
      <c r="N83" s="199" t="s">
        <v>92</v>
      </c>
      <c r="O83" s="392">
        <f>L83*(2000/8760)</f>
        <v>0</v>
      </c>
      <c r="P83" s="202" t="s">
        <v>93</v>
      </c>
      <c r="Q83" s="84"/>
    </row>
    <row r="84" spans="1:17" ht="14.25" customHeight="1" x14ac:dyDescent="0.2">
      <c r="A84" s="84"/>
      <c r="B84" s="84"/>
      <c r="C84" s="194" t="s">
        <v>65</v>
      </c>
      <c r="D84" s="84"/>
      <c r="E84" s="84"/>
      <c r="F84" s="194" t="s">
        <v>98</v>
      </c>
      <c r="G84" s="84"/>
      <c r="K84" s="84"/>
      <c r="L84" s="84"/>
      <c r="M84" s="194" t="s">
        <v>65</v>
      </c>
      <c r="N84" s="84"/>
      <c r="O84" s="84"/>
      <c r="P84" s="194" t="s">
        <v>98</v>
      </c>
      <c r="Q84" s="84"/>
    </row>
  </sheetData>
  <mergeCells count="54">
    <mergeCell ref="H69:I69"/>
    <mergeCell ref="R69:S69"/>
    <mergeCell ref="B70:C70"/>
    <mergeCell ref="D70:E70"/>
    <mergeCell ref="F70:G70"/>
    <mergeCell ref="L70:M70"/>
    <mergeCell ref="N70:O70"/>
    <mergeCell ref="P70:Q70"/>
    <mergeCell ref="H59:I59"/>
    <mergeCell ref="R59:S59"/>
    <mergeCell ref="B60:C60"/>
    <mergeCell ref="D60:E60"/>
    <mergeCell ref="F60:G60"/>
    <mergeCell ref="L60:M60"/>
    <mergeCell ref="N60:O60"/>
    <mergeCell ref="P60:Q60"/>
    <mergeCell ref="H49:I49"/>
    <mergeCell ref="R49:S49"/>
    <mergeCell ref="B50:C50"/>
    <mergeCell ref="D50:E50"/>
    <mergeCell ref="F50:G50"/>
    <mergeCell ref="L50:M50"/>
    <mergeCell ref="N50:O50"/>
    <mergeCell ref="P50:Q50"/>
    <mergeCell ref="H39:I39"/>
    <mergeCell ref="R39:S39"/>
    <mergeCell ref="B40:C40"/>
    <mergeCell ref="D40:E40"/>
    <mergeCell ref="F40:G40"/>
    <mergeCell ref="L40:M40"/>
    <mergeCell ref="N40:O40"/>
    <mergeCell ref="P40:Q40"/>
    <mergeCell ref="H29:I29"/>
    <mergeCell ref="R29:S29"/>
    <mergeCell ref="B30:C30"/>
    <mergeCell ref="D30:E30"/>
    <mergeCell ref="F30:G30"/>
    <mergeCell ref="L30:M30"/>
    <mergeCell ref="N30:O30"/>
    <mergeCell ref="P30:Q30"/>
    <mergeCell ref="H19:I19"/>
    <mergeCell ref="R19:S19"/>
    <mergeCell ref="B20:C20"/>
    <mergeCell ref="D20:E20"/>
    <mergeCell ref="F20:G20"/>
    <mergeCell ref="L20:M20"/>
    <mergeCell ref="N20:O20"/>
    <mergeCell ref="P20:Q20"/>
    <mergeCell ref="A1:J1"/>
    <mergeCell ref="K1:S1"/>
    <mergeCell ref="A3:D3"/>
    <mergeCell ref="K3:N3"/>
    <mergeCell ref="A4:D4"/>
    <mergeCell ref="K4:N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84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1" width="14.7109375" customWidth="1"/>
    <col min="2" max="2" width="12.28515625" customWidth="1"/>
    <col min="3" max="3" width="12.42578125" customWidth="1"/>
    <col min="4" max="4" width="9.7109375" customWidth="1"/>
    <col min="11" max="11" width="13.42578125" customWidth="1"/>
    <col min="12" max="12" width="14.42578125" customWidth="1"/>
    <col min="13" max="13" width="12.42578125" customWidth="1"/>
    <col min="19" max="19" width="5.5703125" customWidth="1"/>
  </cols>
  <sheetData>
    <row r="1" spans="1:23" ht="14.25" customHeight="1" x14ac:dyDescent="0.2">
      <c r="A1" s="571" t="s">
        <v>360</v>
      </c>
      <c r="B1" s="571"/>
      <c r="C1" s="571"/>
      <c r="D1" s="571"/>
      <c r="E1" s="571"/>
      <c r="F1" s="571"/>
      <c r="G1" s="571"/>
      <c r="H1" s="571"/>
      <c r="I1" s="571"/>
      <c r="K1" s="571" t="s">
        <v>361</v>
      </c>
      <c r="L1" s="571"/>
      <c r="M1" s="571"/>
      <c r="N1" s="571"/>
      <c r="O1" s="571"/>
      <c r="P1" s="571"/>
      <c r="Q1" s="571"/>
      <c r="R1" s="571"/>
      <c r="S1" s="571"/>
    </row>
    <row r="3" spans="1:23" ht="14.25" customHeight="1" x14ac:dyDescent="0.25">
      <c r="A3" s="600" t="s">
        <v>352</v>
      </c>
      <c r="B3" s="600"/>
      <c r="C3" s="600"/>
      <c r="K3" s="600" t="s">
        <v>352</v>
      </c>
      <c r="L3" s="600"/>
      <c r="M3" s="600"/>
    </row>
    <row r="4" spans="1:23" ht="14.25" customHeight="1" x14ac:dyDescent="0.25">
      <c r="A4" s="601" t="s">
        <v>353</v>
      </c>
      <c r="B4" s="601"/>
      <c r="C4" s="601"/>
      <c r="K4" s="601" t="s">
        <v>353</v>
      </c>
      <c r="L4" s="601"/>
      <c r="M4" s="601"/>
    </row>
    <row r="5" spans="1:23" ht="14.25" customHeight="1" x14ac:dyDescent="0.25">
      <c r="A5" s="485" t="s">
        <v>18</v>
      </c>
      <c r="B5" s="487">
        <v>1.2E-2</v>
      </c>
      <c r="C5" s="488" t="s">
        <v>354</v>
      </c>
      <c r="K5" s="485" t="s">
        <v>18</v>
      </c>
      <c r="L5" s="487">
        <v>1.2E-2</v>
      </c>
      <c r="M5" s="488" t="s">
        <v>354</v>
      </c>
    </row>
    <row r="6" spans="1:23" ht="14.25" customHeight="1" x14ac:dyDescent="0.25">
      <c r="A6" s="489" t="s">
        <v>41</v>
      </c>
      <c r="B6" s="491">
        <v>1.01</v>
      </c>
      <c r="C6" s="492" t="s">
        <v>355</v>
      </c>
      <c r="K6" s="489" t="s">
        <v>41</v>
      </c>
      <c r="L6" s="491">
        <v>1.01</v>
      </c>
      <c r="M6" s="492" t="s">
        <v>355</v>
      </c>
    </row>
    <row r="7" spans="1:23" ht="14.25" customHeight="1" x14ac:dyDescent="0.25">
      <c r="A7" s="489" t="s">
        <v>20</v>
      </c>
      <c r="B7" s="491">
        <v>0.88</v>
      </c>
      <c r="C7" s="492" t="s">
        <v>354</v>
      </c>
      <c r="K7" s="489" t="s">
        <v>20</v>
      </c>
      <c r="L7" s="491">
        <v>0.88</v>
      </c>
      <c r="M7" s="492" t="s">
        <v>354</v>
      </c>
    </row>
    <row r="8" spans="1:23" ht="14.25" customHeight="1" x14ac:dyDescent="0.25">
      <c r="A8" s="489" t="s">
        <v>22</v>
      </c>
      <c r="B8" s="491">
        <v>4.0999999999999999E-4</v>
      </c>
      <c r="C8" s="492" t="s">
        <v>354</v>
      </c>
      <c r="K8" s="489" t="s">
        <v>22</v>
      </c>
      <c r="L8" s="491">
        <v>4.0999999999999999E-4</v>
      </c>
      <c r="M8" s="492" t="s">
        <v>354</v>
      </c>
    </row>
    <row r="9" spans="1:23" ht="14.25" customHeight="1" x14ac:dyDescent="0.25">
      <c r="A9" s="489" t="s">
        <v>21</v>
      </c>
      <c r="B9" s="491">
        <v>3.3E-3</v>
      </c>
      <c r="C9" s="492" t="s">
        <v>354</v>
      </c>
      <c r="K9" s="489" t="s">
        <v>21</v>
      </c>
      <c r="L9" s="491">
        <v>3.3E-3</v>
      </c>
      <c r="M9" s="492" t="s">
        <v>354</v>
      </c>
    </row>
    <row r="10" spans="1:23" ht="14.25" customHeight="1" x14ac:dyDescent="0.25">
      <c r="A10" s="493" t="s">
        <v>23</v>
      </c>
      <c r="B10" s="495">
        <v>1.4E-5</v>
      </c>
      <c r="C10" s="496" t="s">
        <v>354</v>
      </c>
      <c r="K10" s="493" t="s">
        <v>23</v>
      </c>
      <c r="L10" s="495">
        <v>1.4E-5</v>
      </c>
      <c r="M10" s="496" t="s">
        <v>354</v>
      </c>
    </row>
    <row r="11" spans="1:23" ht="14.25" customHeight="1" x14ac:dyDescent="0.2">
      <c r="A11" s="463" t="s">
        <v>24</v>
      </c>
      <c r="B11" s="464" t="s">
        <v>242</v>
      </c>
      <c r="C11" s="377" t="s">
        <v>241</v>
      </c>
      <c r="D11" s="84"/>
      <c r="E11" s="84"/>
      <c r="F11" s="84"/>
      <c r="G11" s="84"/>
      <c r="H11" s="84"/>
      <c r="I11" s="84"/>
      <c r="K11" s="463" t="s">
        <v>24</v>
      </c>
      <c r="L11" s="464" t="s">
        <v>242</v>
      </c>
      <c r="M11" s="377" t="s">
        <v>241</v>
      </c>
    </row>
    <row r="13" spans="1:23" ht="14.25" customHeight="1" x14ac:dyDescent="0.25">
      <c r="A13" t="s">
        <v>326</v>
      </c>
      <c r="B13" s="140">
        <f>SUM(Turbinas!N19)</f>
        <v>0</v>
      </c>
      <c r="C13" t="s">
        <v>89</v>
      </c>
      <c r="D13" s="602" t="s">
        <v>362</v>
      </c>
      <c r="E13" s="602"/>
      <c r="F13" s="602"/>
      <c r="G13" s="602"/>
      <c r="H13" s="602"/>
      <c r="K13" t="s">
        <v>326</v>
      </c>
      <c r="L13" s="140">
        <f>SUM(Turbinas!O19)</f>
        <v>3732259.4400000004</v>
      </c>
      <c r="M13" t="s">
        <v>89</v>
      </c>
      <c r="N13" s="602" t="s">
        <v>362</v>
      </c>
      <c r="O13" s="602"/>
      <c r="P13" s="602"/>
      <c r="Q13" s="602"/>
      <c r="R13" s="602"/>
    </row>
    <row r="14" spans="1:23" ht="14.25" customHeight="1" x14ac:dyDescent="0.25">
      <c r="A14" t="s">
        <v>63</v>
      </c>
      <c r="B14" s="140">
        <f>Turbinas!W17</f>
        <v>0.01</v>
      </c>
      <c r="K14" t="s">
        <v>63</v>
      </c>
      <c r="L14" s="140">
        <f>Turbinas!X17</f>
        <v>0.01</v>
      </c>
      <c r="V14">
        <f>(73.96+0.003*25+0.0006*298)*2.2046*0.138</f>
        <v>22.578420600240001</v>
      </c>
      <c r="W14" t="s">
        <v>119</v>
      </c>
    </row>
    <row r="17" spans="1:19" ht="14.25" customHeight="1" x14ac:dyDescent="0.2">
      <c r="A17" t="s">
        <v>191</v>
      </c>
      <c r="K17" t="s">
        <v>191</v>
      </c>
    </row>
    <row r="19" spans="1:19" ht="14.25" customHeight="1" x14ac:dyDescent="0.25">
      <c r="A19" s="86" t="s">
        <v>92</v>
      </c>
      <c r="B19" s="497">
        <v>1.2E-2</v>
      </c>
      <c r="C19" s="498" t="s">
        <v>93</v>
      </c>
      <c r="D19" s="499">
        <f>B13</f>
        <v>0</v>
      </c>
      <c r="E19" s="498" t="s">
        <v>94</v>
      </c>
      <c r="F19" s="497">
        <v>0.13800000000000001</v>
      </c>
      <c r="G19" s="498" t="s">
        <v>95</v>
      </c>
      <c r="H19" s="603" t="s">
        <v>96</v>
      </c>
      <c r="I19" s="603"/>
      <c r="K19" s="86" t="s">
        <v>92</v>
      </c>
      <c r="L19" s="497">
        <v>1.2E-2</v>
      </c>
      <c r="M19" s="498" t="s">
        <v>93</v>
      </c>
      <c r="N19" s="499">
        <f>L13</f>
        <v>3732259.4400000004</v>
      </c>
      <c r="O19" s="498" t="s">
        <v>94</v>
      </c>
      <c r="P19" s="497">
        <v>0.13800000000000001</v>
      </c>
      <c r="Q19" s="498" t="s">
        <v>95</v>
      </c>
      <c r="R19" s="603" t="s">
        <v>96</v>
      </c>
      <c r="S19" s="603"/>
    </row>
    <row r="20" spans="1:19" ht="14.25" customHeight="1" x14ac:dyDescent="0.25">
      <c r="B20" s="604" t="s">
        <v>95</v>
      </c>
      <c r="C20" s="604"/>
      <c r="D20" s="604" t="s">
        <v>65</v>
      </c>
      <c r="E20" s="604"/>
      <c r="F20" s="604" t="s">
        <v>94</v>
      </c>
      <c r="G20" s="604"/>
      <c r="H20" s="500">
        <v>2000</v>
      </c>
      <c r="I20" t="s">
        <v>93</v>
      </c>
      <c r="L20" s="604" t="s">
        <v>95</v>
      </c>
      <c r="M20" s="604"/>
      <c r="N20" s="604" t="s">
        <v>65</v>
      </c>
      <c r="O20" s="604"/>
      <c r="P20" s="604" t="s">
        <v>94</v>
      </c>
      <c r="Q20" s="604"/>
      <c r="R20" s="500">
        <v>2000</v>
      </c>
      <c r="S20" t="s">
        <v>93</v>
      </c>
    </row>
    <row r="21" spans="1:19" ht="14.25" customHeight="1" x14ac:dyDescent="0.25">
      <c r="B21" s="563"/>
      <c r="C21" s="563"/>
      <c r="D21" s="563"/>
      <c r="E21" s="563"/>
      <c r="F21" s="563"/>
      <c r="G21" s="563"/>
      <c r="L21" s="563"/>
      <c r="M21" s="563"/>
      <c r="N21" s="563"/>
      <c r="O21" s="563"/>
      <c r="P21" s="563"/>
      <c r="Q21" s="563"/>
    </row>
    <row r="23" spans="1:19" ht="14.25" customHeight="1" x14ac:dyDescent="0.25">
      <c r="A23" s="86" t="s">
        <v>92</v>
      </c>
      <c r="B23" s="100">
        <f>(B19*D19*F19)/H20</f>
        <v>0</v>
      </c>
      <c r="C23" s="93" t="s">
        <v>96</v>
      </c>
      <c r="D23" s="86" t="s">
        <v>92</v>
      </c>
      <c r="E23" s="100">
        <f>B23*2000/8760</f>
        <v>0</v>
      </c>
      <c r="F23" s="202" t="s">
        <v>93</v>
      </c>
      <c r="H23" s="79"/>
      <c r="K23" s="86" t="s">
        <v>92</v>
      </c>
      <c r="L23" s="100">
        <f>(L19*N19*P19)/R20</f>
        <v>3.0903108163200006</v>
      </c>
      <c r="M23" s="93" t="s">
        <v>96</v>
      </c>
      <c r="N23" s="86" t="s">
        <v>92</v>
      </c>
      <c r="O23" s="100">
        <f>L23*2000/8760</f>
        <v>0.70555041468493163</v>
      </c>
      <c r="P23" s="202" t="s">
        <v>93</v>
      </c>
      <c r="R23" s="79"/>
    </row>
    <row r="24" spans="1:19" ht="14.25" customHeight="1" x14ac:dyDescent="0.25">
      <c r="C24" s="563" t="s">
        <v>65</v>
      </c>
      <c r="F24" s="194" t="s">
        <v>98</v>
      </c>
      <c r="M24" s="563" t="s">
        <v>65</v>
      </c>
      <c r="P24" s="194" t="s">
        <v>98</v>
      </c>
    </row>
    <row r="25" spans="1:19" ht="14.25" customHeight="1" x14ac:dyDescent="0.25">
      <c r="C25" s="563"/>
      <c r="F25" s="194"/>
      <c r="M25" s="563"/>
      <c r="P25" s="194"/>
    </row>
    <row r="26" spans="1:19" ht="14.25" customHeight="1" x14ac:dyDescent="0.25">
      <c r="C26" s="563"/>
      <c r="F26" s="194"/>
      <c r="M26" s="563"/>
      <c r="P26" s="194"/>
    </row>
    <row r="27" spans="1:19" ht="14.25" customHeight="1" x14ac:dyDescent="0.2">
      <c r="A27" t="s">
        <v>99</v>
      </c>
      <c r="K27" t="s">
        <v>99</v>
      </c>
    </row>
    <row r="29" spans="1:19" ht="14.25" customHeight="1" x14ac:dyDescent="0.25">
      <c r="A29" s="86" t="s">
        <v>92</v>
      </c>
      <c r="B29" s="501">
        <f>B6*B14</f>
        <v>1.01E-2</v>
      </c>
      <c r="C29" s="498" t="s">
        <v>93</v>
      </c>
      <c r="D29" s="499">
        <f>B13</f>
        <v>0</v>
      </c>
      <c r="E29" s="498" t="s">
        <v>94</v>
      </c>
      <c r="F29" s="497">
        <v>0.13800000000000001</v>
      </c>
      <c r="G29" s="498" t="s">
        <v>95</v>
      </c>
      <c r="H29" s="603" t="s">
        <v>96</v>
      </c>
      <c r="I29" s="603"/>
      <c r="K29" s="86" t="s">
        <v>92</v>
      </c>
      <c r="L29" s="501">
        <f>L6*L14</f>
        <v>1.01E-2</v>
      </c>
      <c r="M29" s="498" t="s">
        <v>93</v>
      </c>
      <c r="N29" s="499">
        <f>L13</f>
        <v>3732259.4400000004</v>
      </c>
      <c r="O29" s="498" t="s">
        <v>94</v>
      </c>
      <c r="P29" s="497">
        <v>0.13800000000000001</v>
      </c>
      <c r="Q29" s="498" t="s">
        <v>95</v>
      </c>
      <c r="R29" s="603" t="s">
        <v>96</v>
      </c>
      <c r="S29" s="603"/>
    </row>
    <row r="30" spans="1:19" ht="14.25" customHeight="1" x14ac:dyDescent="0.25">
      <c r="B30" s="604" t="s">
        <v>95</v>
      </c>
      <c r="C30" s="604"/>
      <c r="D30" s="604" t="s">
        <v>65</v>
      </c>
      <c r="E30" s="604"/>
      <c r="F30" s="604" t="s">
        <v>94</v>
      </c>
      <c r="G30" s="604"/>
      <c r="H30" s="500">
        <v>2000</v>
      </c>
      <c r="I30" t="s">
        <v>93</v>
      </c>
      <c r="L30" s="604" t="s">
        <v>95</v>
      </c>
      <c r="M30" s="604"/>
      <c r="N30" s="604" t="s">
        <v>65</v>
      </c>
      <c r="O30" s="604"/>
      <c r="P30" s="604" t="s">
        <v>94</v>
      </c>
      <c r="Q30" s="604"/>
      <c r="R30" s="500">
        <v>2000</v>
      </c>
      <c r="S30" t="s">
        <v>93</v>
      </c>
    </row>
    <row r="31" spans="1:19" ht="14.25" customHeight="1" x14ac:dyDescent="0.25">
      <c r="B31" s="563"/>
      <c r="C31" s="563"/>
      <c r="D31" s="563"/>
      <c r="E31" s="563"/>
      <c r="F31" s="563"/>
      <c r="G31" s="563"/>
      <c r="L31" s="563"/>
      <c r="M31" s="563"/>
      <c r="N31" s="563"/>
      <c r="O31" s="563"/>
      <c r="P31" s="563"/>
      <c r="Q31" s="563"/>
    </row>
    <row r="33" spans="1:19" ht="14.25" customHeight="1" x14ac:dyDescent="0.25">
      <c r="A33" s="86" t="s">
        <v>92</v>
      </c>
      <c r="B33" s="100">
        <f>(B29*D29*F29)/H30</f>
        <v>0</v>
      </c>
      <c r="C33" s="93" t="s">
        <v>96</v>
      </c>
      <c r="D33" s="86" t="s">
        <v>92</v>
      </c>
      <c r="E33" s="100">
        <f>B33*2000/8760</f>
        <v>0</v>
      </c>
      <c r="F33" s="202" t="s">
        <v>93</v>
      </c>
      <c r="H33" s="79"/>
      <c r="K33" s="86" t="s">
        <v>92</v>
      </c>
      <c r="L33" s="98">
        <f>(L29*N29*P29)/R30</f>
        <v>2.6010116037360005</v>
      </c>
      <c r="M33" s="93" t="s">
        <v>96</v>
      </c>
      <c r="N33" s="86" t="s">
        <v>92</v>
      </c>
      <c r="O33" s="98">
        <f>L33*2000/8760</f>
        <v>0.59383826569315079</v>
      </c>
      <c r="P33" s="202" t="s">
        <v>93</v>
      </c>
      <c r="R33" s="79"/>
    </row>
    <row r="34" spans="1:19" ht="14.25" customHeight="1" x14ac:dyDescent="0.25">
      <c r="C34" s="563" t="s">
        <v>65</v>
      </c>
      <c r="F34" s="194" t="s">
        <v>98</v>
      </c>
      <c r="M34" s="563" t="s">
        <v>65</v>
      </c>
      <c r="P34" s="194" t="s">
        <v>98</v>
      </c>
    </row>
    <row r="35" spans="1:19" ht="14.25" customHeight="1" x14ac:dyDescent="0.25">
      <c r="C35" s="563"/>
      <c r="F35" s="194"/>
      <c r="M35" s="563"/>
      <c r="P35" s="194"/>
    </row>
    <row r="36" spans="1:19" ht="14.25" customHeight="1" x14ac:dyDescent="0.25">
      <c r="C36" s="563"/>
      <c r="D36" s="86"/>
      <c r="E36" s="100"/>
      <c r="F36" s="194"/>
      <c r="H36" s="79"/>
      <c r="M36" s="563"/>
      <c r="N36" s="86"/>
      <c r="O36" s="100"/>
      <c r="P36" s="194"/>
      <c r="R36" s="79"/>
    </row>
    <row r="37" spans="1:19" ht="14.25" customHeight="1" x14ac:dyDescent="0.2">
      <c r="A37" t="s">
        <v>100</v>
      </c>
      <c r="K37" t="s">
        <v>100</v>
      </c>
    </row>
    <row r="39" spans="1:19" ht="14.25" customHeight="1" x14ac:dyDescent="0.25">
      <c r="A39" s="86" t="s">
        <v>92</v>
      </c>
      <c r="B39" s="497">
        <v>0.88</v>
      </c>
      <c r="C39" s="498" t="s">
        <v>93</v>
      </c>
      <c r="D39" s="499">
        <f>B13</f>
        <v>0</v>
      </c>
      <c r="E39" s="498" t="s">
        <v>94</v>
      </c>
      <c r="F39" s="497">
        <v>0.13800000000000001</v>
      </c>
      <c r="G39" s="498" t="s">
        <v>95</v>
      </c>
      <c r="H39" s="603" t="s">
        <v>96</v>
      </c>
      <c r="I39" s="603"/>
      <c r="K39" s="86" t="s">
        <v>92</v>
      </c>
      <c r="L39" s="497">
        <v>0.88</v>
      </c>
      <c r="M39" s="498" t="s">
        <v>93</v>
      </c>
      <c r="N39" s="499">
        <f>L13</f>
        <v>3732259.4400000004</v>
      </c>
      <c r="O39" s="498" t="s">
        <v>94</v>
      </c>
      <c r="P39" s="497">
        <v>0.13800000000000001</v>
      </c>
      <c r="Q39" s="498" t="s">
        <v>95</v>
      </c>
      <c r="R39" s="603" t="s">
        <v>96</v>
      </c>
      <c r="S39" s="603"/>
    </row>
    <row r="40" spans="1:19" ht="14.25" customHeight="1" x14ac:dyDescent="0.25">
      <c r="B40" s="604" t="s">
        <v>95</v>
      </c>
      <c r="C40" s="604"/>
      <c r="D40" s="604" t="s">
        <v>65</v>
      </c>
      <c r="E40" s="604"/>
      <c r="F40" s="604" t="s">
        <v>94</v>
      </c>
      <c r="G40" s="604"/>
      <c r="H40" s="500">
        <v>2000</v>
      </c>
      <c r="I40" t="s">
        <v>93</v>
      </c>
      <c r="L40" s="604" t="s">
        <v>95</v>
      </c>
      <c r="M40" s="604"/>
      <c r="N40" s="604" t="s">
        <v>65</v>
      </c>
      <c r="O40" s="604"/>
      <c r="P40" s="604" t="s">
        <v>94</v>
      </c>
      <c r="Q40" s="604"/>
      <c r="R40" s="500">
        <v>2000</v>
      </c>
      <c r="S40" t="s">
        <v>93</v>
      </c>
    </row>
    <row r="41" spans="1:19" ht="14.25" customHeight="1" x14ac:dyDescent="0.25">
      <c r="B41" s="563"/>
      <c r="C41" s="563"/>
      <c r="D41" s="563"/>
      <c r="E41" s="563"/>
      <c r="F41" s="563"/>
      <c r="G41" s="563"/>
      <c r="L41" s="563"/>
      <c r="M41" s="563"/>
      <c r="N41" s="563"/>
      <c r="O41" s="563"/>
      <c r="P41" s="563"/>
      <c r="Q41" s="563"/>
    </row>
    <row r="43" spans="1:19" ht="14.25" customHeight="1" x14ac:dyDescent="0.25">
      <c r="A43" s="86" t="s">
        <v>92</v>
      </c>
      <c r="B43" s="100">
        <f>(B39*D39*F39)/H40</f>
        <v>0</v>
      </c>
      <c r="C43" s="93" t="s">
        <v>96</v>
      </c>
      <c r="D43" s="86" t="s">
        <v>92</v>
      </c>
      <c r="E43" s="100">
        <f>B43*2000/8760</f>
        <v>0</v>
      </c>
      <c r="F43" s="202" t="s">
        <v>93</v>
      </c>
      <c r="H43" s="79"/>
      <c r="K43" s="86" t="s">
        <v>92</v>
      </c>
      <c r="L43" s="92">
        <f>(L39*N39*P39)/R40</f>
        <v>226.62279319680002</v>
      </c>
      <c r="M43" s="93" t="s">
        <v>96</v>
      </c>
      <c r="N43" s="86" t="s">
        <v>92</v>
      </c>
      <c r="O43" s="92">
        <f>L43*2000/8760</f>
        <v>51.740363743561652</v>
      </c>
      <c r="P43" s="202" t="s">
        <v>93</v>
      </c>
      <c r="R43" s="79"/>
    </row>
    <row r="44" spans="1:19" ht="14.25" customHeight="1" x14ac:dyDescent="0.25">
      <c r="C44" s="563" t="s">
        <v>65</v>
      </c>
      <c r="F44" s="194" t="s">
        <v>98</v>
      </c>
      <c r="M44" s="563" t="s">
        <v>65</v>
      </c>
      <c r="P44" s="194" t="s">
        <v>98</v>
      </c>
    </row>
    <row r="45" spans="1:19" ht="14.25" customHeight="1" x14ac:dyDescent="0.25">
      <c r="C45" s="563"/>
      <c r="F45" s="194"/>
      <c r="M45" s="563"/>
      <c r="P45" s="194"/>
    </row>
    <row r="46" spans="1:19" ht="14.25" customHeight="1" x14ac:dyDescent="0.25">
      <c r="C46" s="563"/>
      <c r="F46" s="194"/>
      <c r="M46" s="563"/>
      <c r="P46" s="194"/>
    </row>
    <row r="47" spans="1:19" ht="14.25" customHeight="1" x14ac:dyDescent="0.2">
      <c r="A47" t="s">
        <v>101</v>
      </c>
      <c r="K47" t="s">
        <v>101</v>
      </c>
    </row>
    <row r="49" spans="1:19" ht="14.25" customHeight="1" x14ac:dyDescent="0.25">
      <c r="A49" s="86" t="s">
        <v>92</v>
      </c>
      <c r="B49" s="497">
        <v>4.0999999999999999E-4</v>
      </c>
      <c r="C49" s="498" t="s">
        <v>93</v>
      </c>
      <c r="D49" s="499">
        <f>B13</f>
        <v>0</v>
      </c>
      <c r="E49" s="498" t="s">
        <v>94</v>
      </c>
      <c r="F49" s="497">
        <v>0.13800000000000001</v>
      </c>
      <c r="G49" s="498" t="s">
        <v>95</v>
      </c>
      <c r="H49" s="603" t="s">
        <v>96</v>
      </c>
      <c r="I49" s="603"/>
      <c r="K49" s="86" t="s">
        <v>92</v>
      </c>
      <c r="L49" s="497">
        <v>4.0999999999999999E-4</v>
      </c>
      <c r="M49" s="498" t="s">
        <v>93</v>
      </c>
      <c r="N49" s="499">
        <f>L13</f>
        <v>3732259.4400000004</v>
      </c>
      <c r="O49" s="498" t="s">
        <v>94</v>
      </c>
      <c r="P49" s="497">
        <v>0.13800000000000001</v>
      </c>
      <c r="Q49" s="498" t="s">
        <v>95</v>
      </c>
      <c r="R49" s="603" t="s">
        <v>96</v>
      </c>
      <c r="S49" s="603"/>
    </row>
    <row r="50" spans="1:19" ht="14.25" customHeight="1" x14ac:dyDescent="0.25">
      <c r="B50" s="604" t="s">
        <v>95</v>
      </c>
      <c r="C50" s="604"/>
      <c r="D50" s="604" t="s">
        <v>65</v>
      </c>
      <c r="E50" s="604"/>
      <c r="F50" s="604" t="s">
        <v>94</v>
      </c>
      <c r="G50" s="604"/>
      <c r="H50" s="500">
        <v>2000</v>
      </c>
      <c r="I50" t="s">
        <v>93</v>
      </c>
      <c r="L50" s="604" t="s">
        <v>95</v>
      </c>
      <c r="M50" s="604"/>
      <c r="N50" s="604" t="s">
        <v>65</v>
      </c>
      <c r="O50" s="604"/>
      <c r="P50" s="604" t="s">
        <v>94</v>
      </c>
      <c r="Q50" s="604"/>
      <c r="R50" s="500">
        <v>2000</v>
      </c>
      <c r="S50" t="s">
        <v>93</v>
      </c>
    </row>
    <row r="51" spans="1:19" ht="14.25" customHeight="1" x14ac:dyDescent="0.25">
      <c r="B51" s="563"/>
      <c r="C51" s="563"/>
      <c r="D51" s="563"/>
      <c r="E51" s="563"/>
      <c r="F51" s="563"/>
      <c r="G51" s="563"/>
      <c r="L51" s="563"/>
      <c r="M51" s="563"/>
      <c r="N51" s="563"/>
      <c r="O51" s="563"/>
      <c r="P51" s="563"/>
      <c r="Q51" s="563"/>
    </row>
    <row r="53" spans="1:19" ht="14.25" customHeight="1" x14ac:dyDescent="0.25">
      <c r="A53" s="86" t="s">
        <v>92</v>
      </c>
      <c r="B53" s="100">
        <f>(B49*D49*F49)/H50</f>
        <v>0</v>
      </c>
      <c r="C53" s="93" t="s">
        <v>96</v>
      </c>
      <c r="D53" s="86" t="s">
        <v>92</v>
      </c>
      <c r="E53" s="100">
        <f>B53*2000/8760</f>
        <v>0</v>
      </c>
      <c r="F53" s="202" t="s">
        <v>93</v>
      </c>
      <c r="H53" s="79"/>
      <c r="K53" s="86" t="s">
        <v>92</v>
      </c>
      <c r="L53" s="100">
        <f>(L49*N49*P49)/R50</f>
        <v>0.10558561955760003</v>
      </c>
      <c r="M53" s="93" t="s">
        <v>96</v>
      </c>
      <c r="N53" s="86" t="s">
        <v>92</v>
      </c>
      <c r="O53" s="100">
        <f>L53*2000/8760</f>
        <v>2.4106305835068498E-2</v>
      </c>
      <c r="P53" s="202" t="s">
        <v>93</v>
      </c>
      <c r="R53" s="79"/>
    </row>
    <row r="54" spans="1:19" ht="14.25" customHeight="1" x14ac:dyDescent="0.25">
      <c r="C54" s="563" t="s">
        <v>65</v>
      </c>
      <c r="F54" s="194" t="s">
        <v>98</v>
      </c>
      <c r="M54" s="563" t="s">
        <v>65</v>
      </c>
      <c r="P54" s="194" t="s">
        <v>98</v>
      </c>
    </row>
    <row r="55" spans="1:19" ht="14.25" customHeight="1" x14ac:dyDescent="0.25">
      <c r="C55" s="563"/>
      <c r="F55" s="194"/>
      <c r="M55" s="563"/>
      <c r="P55" s="194"/>
    </row>
    <row r="56" spans="1:19" ht="14.25" customHeight="1" x14ac:dyDescent="0.25">
      <c r="D56" s="86"/>
      <c r="E56" s="100"/>
      <c r="F56" s="194"/>
      <c r="H56" s="79"/>
      <c r="N56" s="86"/>
      <c r="O56" s="100"/>
      <c r="P56" s="194"/>
      <c r="R56" s="79"/>
    </row>
    <row r="57" spans="1:19" ht="14.25" customHeight="1" x14ac:dyDescent="0.25">
      <c r="A57" t="s">
        <v>102</v>
      </c>
      <c r="D57" s="86"/>
      <c r="E57" s="100"/>
      <c r="H57" s="79"/>
      <c r="K57" t="s">
        <v>102</v>
      </c>
      <c r="N57" s="86"/>
      <c r="O57" s="100"/>
      <c r="R57" s="79"/>
    </row>
    <row r="59" spans="1:19" ht="14.25" customHeight="1" x14ac:dyDescent="0.25">
      <c r="A59" s="86" t="s">
        <v>92</v>
      </c>
      <c r="B59" s="497">
        <v>3.3E-3</v>
      </c>
      <c r="C59" s="498" t="s">
        <v>93</v>
      </c>
      <c r="D59" s="499">
        <f>B13</f>
        <v>0</v>
      </c>
      <c r="E59" s="498" t="s">
        <v>94</v>
      </c>
      <c r="F59" s="497">
        <v>0.13800000000000001</v>
      </c>
      <c r="G59" s="498" t="s">
        <v>95</v>
      </c>
      <c r="H59" s="603" t="s">
        <v>96</v>
      </c>
      <c r="I59" s="603"/>
      <c r="K59" s="86" t="s">
        <v>92</v>
      </c>
      <c r="L59" s="497">
        <v>3.3E-3</v>
      </c>
      <c r="M59" s="498" t="s">
        <v>93</v>
      </c>
      <c r="N59" s="499">
        <f>L13</f>
        <v>3732259.4400000004</v>
      </c>
      <c r="O59" s="498" t="s">
        <v>94</v>
      </c>
      <c r="P59" s="497">
        <v>0.13800000000000001</v>
      </c>
      <c r="Q59" s="498" t="s">
        <v>95</v>
      </c>
      <c r="R59" s="603" t="s">
        <v>96</v>
      </c>
      <c r="S59" s="603"/>
    </row>
    <row r="60" spans="1:19" ht="14.25" customHeight="1" x14ac:dyDescent="0.25">
      <c r="B60" s="604" t="s">
        <v>95</v>
      </c>
      <c r="C60" s="604"/>
      <c r="D60" s="604" t="s">
        <v>65</v>
      </c>
      <c r="E60" s="604"/>
      <c r="F60" s="604" t="s">
        <v>94</v>
      </c>
      <c r="G60" s="604"/>
      <c r="H60" s="500">
        <v>2000</v>
      </c>
      <c r="I60" t="s">
        <v>93</v>
      </c>
      <c r="L60" s="604" t="s">
        <v>95</v>
      </c>
      <c r="M60" s="604"/>
      <c r="N60" s="604" t="s">
        <v>65</v>
      </c>
      <c r="O60" s="604"/>
      <c r="P60" s="604" t="s">
        <v>94</v>
      </c>
      <c r="Q60" s="604"/>
      <c r="R60" s="500">
        <v>2000</v>
      </c>
      <c r="S60" t="s">
        <v>93</v>
      </c>
    </row>
    <row r="61" spans="1:19" ht="14.25" customHeight="1" x14ac:dyDescent="0.25">
      <c r="B61" s="563"/>
      <c r="C61" s="563"/>
      <c r="D61" s="563"/>
      <c r="E61" s="563"/>
      <c r="F61" s="563"/>
      <c r="G61" s="563"/>
      <c r="L61" s="563"/>
      <c r="M61" s="563"/>
      <c r="N61" s="563"/>
      <c r="O61" s="563"/>
      <c r="P61" s="563"/>
      <c r="Q61" s="563"/>
    </row>
    <row r="63" spans="1:19" ht="14.25" customHeight="1" x14ac:dyDescent="0.25">
      <c r="A63" s="86" t="s">
        <v>92</v>
      </c>
      <c r="B63" s="100">
        <f>(B59*D59*F59)/H60</f>
        <v>0</v>
      </c>
      <c r="C63" s="93" t="s">
        <v>96</v>
      </c>
      <c r="D63" s="86" t="s">
        <v>92</v>
      </c>
      <c r="E63" s="100">
        <f>B63*2000/8760</f>
        <v>0</v>
      </c>
      <c r="F63" s="202" t="s">
        <v>93</v>
      </c>
      <c r="H63" s="79"/>
      <c r="K63" s="86" t="s">
        <v>92</v>
      </c>
      <c r="L63" s="100">
        <f>(L59*N59*P59)/R60</f>
        <v>0.84983547448800012</v>
      </c>
      <c r="M63" s="93" t="s">
        <v>96</v>
      </c>
      <c r="N63" s="86" t="s">
        <v>92</v>
      </c>
      <c r="O63" s="100">
        <f>L63*2000/8760</f>
        <v>0.19402636403835621</v>
      </c>
      <c r="P63" s="202" t="s">
        <v>93</v>
      </c>
      <c r="R63" s="79"/>
    </row>
    <row r="64" spans="1:19" ht="14.25" customHeight="1" x14ac:dyDescent="0.25">
      <c r="C64" s="563" t="s">
        <v>65</v>
      </c>
      <c r="F64" s="194" t="s">
        <v>98</v>
      </c>
      <c r="M64" s="563" t="s">
        <v>65</v>
      </c>
      <c r="P64" s="194" t="s">
        <v>98</v>
      </c>
    </row>
    <row r="65" spans="1:19" ht="14.25" customHeight="1" x14ac:dyDescent="0.25">
      <c r="C65" s="563"/>
      <c r="F65" s="194"/>
      <c r="M65" s="563"/>
      <c r="P65" s="194"/>
    </row>
    <row r="67" spans="1:19" ht="14.25" customHeight="1" x14ac:dyDescent="0.2">
      <c r="A67" t="s">
        <v>103</v>
      </c>
      <c r="K67" t="s">
        <v>103</v>
      </c>
    </row>
    <row r="69" spans="1:19" ht="14.25" customHeight="1" x14ac:dyDescent="0.25">
      <c r="A69" s="86" t="s">
        <v>92</v>
      </c>
      <c r="B69" s="497">
        <v>1.4E-5</v>
      </c>
      <c r="C69" s="498" t="s">
        <v>93</v>
      </c>
      <c r="D69" s="499">
        <f>B13</f>
        <v>0</v>
      </c>
      <c r="E69" s="498" t="s">
        <v>94</v>
      </c>
      <c r="F69" s="497">
        <v>0.13800000000000001</v>
      </c>
      <c r="G69" s="498" t="s">
        <v>95</v>
      </c>
      <c r="H69" s="603" t="s">
        <v>96</v>
      </c>
      <c r="I69" s="603"/>
      <c r="K69" s="86" t="s">
        <v>92</v>
      </c>
      <c r="L69" s="497">
        <v>1.4E-5</v>
      </c>
      <c r="M69" s="498" t="s">
        <v>93</v>
      </c>
      <c r="N69" s="499">
        <f>L13</f>
        <v>3732259.4400000004</v>
      </c>
      <c r="O69" s="498" t="s">
        <v>94</v>
      </c>
      <c r="P69" s="497">
        <v>0.13800000000000001</v>
      </c>
      <c r="Q69" s="498" t="s">
        <v>95</v>
      </c>
      <c r="R69" s="603" t="s">
        <v>96</v>
      </c>
      <c r="S69" s="603"/>
    </row>
    <row r="70" spans="1:19" ht="14.25" customHeight="1" x14ac:dyDescent="0.25">
      <c r="B70" s="604" t="s">
        <v>95</v>
      </c>
      <c r="C70" s="604"/>
      <c r="D70" s="604" t="s">
        <v>65</v>
      </c>
      <c r="E70" s="604"/>
      <c r="F70" s="604" t="s">
        <v>94</v>
      </c>
      <c r="G70" s="604"/>
      <c r="H70" s="500">
        <v>2000</v>
      </c>
      <c r="I70" t="s">
        <v>93</v>
      </c>
      <c r="L70" s="604" t="s">
        <v>95</v>
      </c>
      <c r="M70" s="604"/>
      <c r="N70" s="604" t="s">
        <v>65</v>
      </c>
      <c r="O70" s="604"/>
      <c r="P70" s="604" t="s">
        <v>94</v>
      </c>
      <c r="Q70" s="604"/>
      <c r="R70" s="500">
        <v>2000</v>
      </c>
      <c r="S70" t="s">
        <v>93</v>
      </c>
    </row>
    <row r="71" spans="1:19" ht="14.25" customHeight="1" x14ac:dyDescent="0.25">
      <c r="B71" s="563"/>
      <c r="C71" s="563"/>
      <c r="D71" s="563"/>
      <c r="E71" s="563"/>
      <c r="F71" s="563"/>
      <c r="G71" s="563"/>
      <c r="L71" s="563"/>
      <c r="M71" s="563"/>
      <c r="N71" s="563"/>
      <c r="O71" s="563"/>
      <c r="P71" s="563"/>
      <c r="Q71" s="563"/>
    </row>
    <row r="73" spans="1:19" ht="14.25" customHeight="1" x14ac:dyDescent="0.25">
      <c r="A73" s="86" t="s">
        <v>92</v>
      </c>
      <c r="B73" s="100">
        <f>(B69*D69*F69)/H70</f>
        <v>0</v>
      </c>
      <c r="C73" s="93" t="s">
        <v>96</v>
      </c>
      <c r="D73" s="86" t="s">
        <v>92</v>
      </c>
      <c r="E73" s="100">
        <f>B73*2000/8760</f>
        <v>0</v>
      </c>
      <c r="F73" s="202" t="s">
        <v>93</v>
      </c>
      <c r="H73" s="79"/>
      <c r="K73" s="86" t="s">
        <v>92</v>
      </c>
      <c r="L73" s="100">
        <f>(L69*N69*P69)/R70</f>
        <v>3.6053626190400011E-3</v>
      </c>
      <c r="M73" s="93" t="s">
        <v>96</v>
      </c>
      <c r="N73" s="86" t="s">
        <v>92</v>
      </c>
      <c r="O73" s="100">
        <f>L73*2000/8760</f>
        <v>8.2314215046575369E-4</v>
      </c>
      <c r="P73" s="202" t="s">
        <v>93</v>
      </c>
      <c r="R73" s="79"/>
    </row>
    <row r="74" spans="1:19" ht="14.25" customHeight="1" x14ac:dyDescent="0.25">
      <c r="A74" s="86"/>
      <c r="C74" s="563" t="s">
        <v>65</v>
      </c>
      <c r="F74" s="194" t="s">
        <v>98</v>
      </c>
      <c r="K74" s="86"/>
      <c r="M74" s="563" t="s">
        <v>65</v>
      </c>
      <c r="P74" s="194" t="s">
        <v>98</v>
      </c>
    </row>
    <row r="77" spans="1:19" ht="14.25" customHeight="1" x14ac:dyDescent="0.2">
      <c r="A77" s="84" t="s">
        <v>104</v>
      </c>
      <c r="B77" s="84"/>
      <c r="C77" s="84"/>
      <c r="D77" s="84"/>
      <c r="E77" s="84"/>
      <c r="F77" s="84"/>
      <c r="G77" s="84"/>
      <c r="K77" s="84" t="s">
        <v>104</v>
      </c>
      <c r="L77" s="84"/>
      <c r="M77" s="84"/>
      <c r="N77" s="84"/>
      <c r="O77" s="84"/>
      <c r="P77" s="84"/>
      <c r="Q77" s="84"/>
    </row>
    <row r="79" spans="1:19" ht="14.25" customHeight="1" x14ac:dyDescent="0.2">
      <c r="A79" s="199" t="s">
        <v>92</v>
      </c>
      <c r="B79" s="465">
        <f>V14</f>
        <v>22.578420600240001</v>
      </c>
      <c r="C79" s="371" t="s">
        <v>93</v>
      </c>
      <c r="D79" s="383">
        <f>D69</f>
        <v>0</v>
      </c>
      <c r="E79" s="371" t="s">
        <v>94</v>
      </c>
      <c r="F79" s="558"/>
      <c r="G79" s="384" t="s">
        <v>96</v>
      </c>
      <c r="K79" s="199" t="s">
        <v>92</v>
      </c>
      <c r="L79" s="465">
        <f>V14</f>
        <v>22.578420600240001</v>
      </c>
      <c r="M79" s="371" t="s">
        <v>93</v>
      </c>
      <c r="N79" s="383">
        <f>N69</f>
        <v>3732259.4400000004</v>
      </c>
      <c r="O79" s="371" t="s">
        <v>94</v>
      </c>
      <c r="P79" s="558"/>
      <c r="Q79" s="384" t="s">
        <v>96</v>
      </c>
    </row>
    <row r="80" spans="1:19" ht="14.25" customHeight="1" x14ac:dyDescent="0.25">
      <c r="A80" s="84"/>
      <c r="B80" s="385"/>
      <c r="C80" s="386" t="s">
        <v>94</v>
      </c>
      <c r="D80" s="561"/>
      <c r="E80" s="193" t="s">
        <v>65</v>
      </c>
      <c r="F80" s="209">
        <v>2000</v>
      </c>
      <c r="G80" s="387" t="s">
        <v>93</v>
      </c>
      <c r="K80" s="84"/>
      <c r="L80" s="385"/>
      <c r="M80" s="386" t="s">
        <v>94</v>
      </c>
      <c r="N80" s="561"/>
      <c r="O80" s="193" t="s">
        <v>65</v>
      </c>
      <c r="P80" s="209">
        <v>2000</v>
      </c>
      <c r="Q80" s="387" t="s">
        <v>93</v>
      </c>
    </row>
    <row r="83" spans="1:17" ht="14.25" customHeight="1" x14ac:dyDescent="0.2">
      <c r="A83" s="199" t="s">
        <v>92</v>
      </c>
      <c r="B83" s="392">
        <f>B79*D79/F80</f>
        <v>0</v>
      </c>
      <c r="C83" s="202" t="s">
        <v>96</v>
      </c>
      <c r="D83" s="199" t="s">
        <v>92</v>
      </c>
      <c r="E83" s="392">
        <f>B83*(2000/8760)</f>
        <v>0</v>
      </c>
      <c r="F83" s="202" t="s">
        <v>93</v>
      </c>
      <c r="G83" s="84"/>
      <c r="K83" s="199" t="s">
        <v>92</v>
      </c>
      <c r="L83" s="392">
        <f>L79*N79/P80</f>
        <v>42134.261712768108</v>
      </c>
      <c r="M83" s="202" t="s">
        <v>96</v>
      </c>
      <c r="N83" s="199" t="s">
        <v>92</v>
      </c>
      <c r="O83" s="392">
        <f>L83*(2000/8760)</f>
        <v>9619.6944549698874</v>
      </c>
      <c r="P83" s="202" t="s">
        <v>93</v>
      </c>
      <c r="Q83" s="84"/>
    </row>
    <row r="84" spans="1:17" ht="14.25" customHeight="1" x14ac:dyDescent="0.2">
      <c r="A84" s="84"/>
      <c r="B84" s="84"/>
      <c r="C84" s="194" t="s">
        <v>65</v>
      </c>
      <c r="D84" s="84"/>
      <c r="E84" s="84"/>
      <c r="F84" s="194" t="s">
        <v>98</v>
      </c>
      <c r="G84" s="84"/>
      <c r="K84" s="84"/>
      <c r="L84" s="84"/>
      <c r="M84" s="194" t="s">
        <v>65</v>
      </c>
      <c r="N84" s="84"/>
      <c r="O84" s="84"/>
      <c r="P84" s="194" t="s">
        <v>98</v>
      </c>
      <c r="Q84" s="84"/>
    </row>
  </sheetData>
  <mergeCells count="56">
    <mergeCell ref="H69:I69"/>
    <mergeCell ref="R69:S69"/>
    <mergeCell ref="B70:C70"/>
    <mergeCell ref="D70:E70"/>
    <mergeCell ref="F70:G70"/>
    <mergeCell ref="L70:M70"/>
    <mergeCell ref="N70:O70"/>
    <mergeCell ref="P70:Q70"/>
    <mergeCell ref="H59:I59"/>
    <mergeCell ref="R59:S59"/>
    <mergeCell ref="B60:C60"/>
    <mergeCell ref="D60:E60"/>
    <mergeCell ref="F60:G60"/>
    <mergeCell ref="L60:M60"/>
    <mergeCell ref="N60:O60"/>
    <mergeCell ref="P60:Q60"/>
    <mergeCell ref="H49:I49"/>
    <mergeCell ref="R49:S49"/>
    <mergeCell ref="B50:C50"/>
    <mergeCell ref="D50:E50"/>
    <mergeCell ref="F50:G50"/>
    <mergeCell ref="L50:M50"/>
    <mergeCell ref="N50:O50"/>
    <mergeCell ref="P50:Q50"/>
    <mergeCell ref="H39:I39"/>
    <mergeCell ref="R39:S39"/>
    <mergeCell ref="B40:C40"/>
    <mergeCell ref="D40:E40"/>
    <mergeCell ref="F40:G40"/>
    <mergeCell ref="L40:M40"/>
    <mergeCell ref="N40:O40"/>
    <mergeCell ref="P40:Q40"/>
    <mergeCell ref="H29:I29"/>
    <mergeCell ref="R29:S29"/>
    <mergeCell ref="B30:C30"/>
    <mergeCell ref="D30:E30"/>
    <mergeCell ref="F30:G30"/>
    <mergeCell ref="L30:M30"/>
    <mergeCell ref="N30:O30"/>
    <mergeCell ref="P30:Q30"/>
    <mergeCell ref="D13:H13"/>
    <mergeCell ref="N13:R13"/>
    <mergeCell ref="H19:I19"/>
    <mergeCell ref="R19:S19"/>
    <mergeCell ref="B20:C20"/>
    <mergeCell ref="D20:E20"/>
    <mergeCell ref="F20:G20"/>
    <mergeCell ref="L20:M20"/>
    <mergeCell ref="N20:O20"/>
    <mergeCell ref="P20:Q20"/>
    <mergeCell ref="A1:I1"/>
    <mergeCell ref="K1:S1"/>
    <mergeCell ref="A3:C3"/>
    <mergeCell ref="K3:M3"/>
    <mergeCell ref="A4:C4"/>
    <mergeCell ref="K4:M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P77"/>
  <sheetViews>
    <sheetView zoomScaleNormal="100" workbookViewId="0">
      <selection activeCell="L24" sqref="L24"/>
    </sheetView>
  </sheetViews>
  <sheetFormatPr defaultColWidth="8.7109375" defaultRowHeight="12.75" x14ac:dyDescent="0.2"/>
  <cols>
    <col min="1" max="1" width="12.42578125" customWidth="1"/>
    <col min="2" max="2" width="18.42578125" customWidth="1"/>
    <col min="3" max="3" width="9.85546875" customWidth="1"/>
    <col min="4" max="4" width="10.7109375" customWidth="1"/>
    <col min="5" max="5" width="10" customWidth="1"/>
    <col min="7" max="7" width="7.140625" customWidth="1"/>
    <col min="8" max="8" width="6.5703125" customWidth="1"/>
    <col min="9" max="9" width="4.28515625" customWidth="1"/>
    <col min="10" max="10" width="4.5703125" customWidth="1"/>
    <col min="11" max="11" width="11.42578125" customWidth="1"/>
    <col min="12" max="12" width="12.85546875" customWidth="1"/>
    <col min="13" max="13" width="10.140625" customWidth="1"/>
    <col min="14" max="14" width="10" customWidth="1"/>
    <col min="15" max="15" width="9.28515625" customWidth="1"/>
    <col min="16" max="16" width="6.7109375" customWidth="1"/>
    <col min="18" max="18" width="5.5703125" customWidth="1"/>
    <col min="19" max="19" width="4.85546875" customWidth="1"/>
    <col min="20" max="20" width="6.5703125" customWidth="1"/>
    <col min="21" max="21" width="13.140625" customWidth="1"/>
    <col min="22" max="22" width="11.5703125" customWidth="1"/>
    <col min="23" max="23" width="10.28515625" customWidth="1"/>
    <col min="25" max="25" width="9.28515625" customWidth="1"/>
    <col min="27" max="27" width="7.7109375" customWidth="1"/>
    <col min="28" max="28" width="6.5703125" customWidth="1"/>
    <col min="29" max="29" width="5.5703125" customWidth="1"/>
    <col min="30" max="30" width="2.85546875" customWidth="1"/>
    <col min="31" max="31" width="10.85546875" customWidth="1"/>
    <col min="32" max="32" width="15" customWidth="1"/>
    <col min="33" max="33" width="10.140625" customWidth="1"/>
    <col min="34" max="34" width="10.7109375" customWidth="1"/>
    <col min="35" max="35" width="9.5703125" customWidth="1"/>
    <col min="37" max="37" width="8" customWidth="1"/>
    <col min="38" max="38" width="7.85546875" customWidth="1"/>
    <col min="39" max="39" width="5.5703125" customWidth="1"/>
  </cols>
  <sheetData>
    <row r="1" spans="1:42" ht="14.25" customHeight="1" x14ac:dyDescent="0.2">
      <c r="A1" s="571" t="s">
        <v>363</v>
      </c>
      <c r="B1" s="571"/>
      <c r="C1" s="571"/>
      <c r="D1" s="571"/>
      <c r="E1" s="571"/>
      <c r="F1" s="571"/>
      <c r="G1" s="571"/>
      <c r="H1" s="571"/>
      <c r="I1" s="571"/>
      <c r="J1" s="79"/>
      <c r="K1" s="571" t="s">
        <v>364</v>
      </c>
      <c r="L1" s="571"/>
      <c r="M1" s="571"/>
      <c r="N1" s="571"/>
      <c r="O1" s="571"/>
      <c r="P1" s="571"/>
      <c r="Q1" s="571"/>
      <c r="R1" s="571"/>
      <c r="S1" s="571"/>
      <c r="U1" s="571" t="s">
        <v>365</v>
      </c>
      <c r="V1" s="571"/>
      <c r="W1" s="571"/>
      <c r="X1" s="571"/>
      <c r="Y1" s="571"/>
      <c r="Z1" s="571"/>
      <c r="AA1" s="571"/>
      <c r="AB1" s="571"/>
      <c r="AC1" s="571"/>
      <c r="AE1" s="571" t="s">
        <v>366</v>
      </c>
      <c r="AF1" s="571"/>
      <c r="AG1" s="571"/>
      <c r="AH1" s="571"/>
      <c r="AI1" s="571"/>
      <c r="AJ1" s="571"/>
      <c r="AK1" s="571"/>
      <c r="AL1" s="571"/>
      <c r="AM1" s="571"/>
    </row>
    <row r="3" spans="1:42" ht="14.25" customHeight="1" x14ac:dyDescent="0.25">
      <c r="A3" s="571" t="s">
        <v>367</v>
      </c>
      <c r="B3" s="571"/>
      <c r="C3" s="79"/>
      <c r="D3" s="84"/>
      <c r="E3" s="84"/>
      <c r="F3" s="84"/>
      <c r="G3" s="84"/>
      <c r="H3" s="84"/>
      <c r="I3" s="84"/>
      <c r="J3" s="84"/>
      <c r="K3" s="586" t="s">
        <v>367</v>
      </c>
      <c r="L3" s="586"/>
      <c r="M3" s="557"/>
      <c r="N3" s="193"/>
      <c r="O3" s="193"/>
      <c r="P3" s="193"/>
      <c r="Q3" s="193"/>
      <c r="R3" s="193"/>
      <c r="S3" s="193"/>
      <c r="T3" s="393"/>
      <c r="U3" s="586" t="s">
        <v>367</v>
      </c>
      <c r="V3" s="586"/>
      <c r="W3" s="79"/>
      <c r="X3" s="84"/>
      <c r="Y3" s="84"/>
      <c r="Z3" s="84"/>
      <c r="AA3" s="84"/>
      <c r="AB3" s="84"/>
      <c r="AC3" s="84"/>
      <c r="AE3" s="586" t="s">
        <v>367</v>
      </c>
      <c r="AF3" s="586"/>
      <c r="AG3" s="79"/>
      <c r="AH3" s="84"/>
      <c r="AI3" s="84"/>
      <c r="AJ3" s="84"/>
      <c r="AK3" s="84"/>
      <c r="AL3" s="84"/>
      <c r="AM3" s="84"/>
    </row>
    <row r="4" spans="1:42" ht="14.25" customHeight="1" x14ac:dyDescent="0.2">
      <c r="A4" s="79" t="s">
        <v>17</v>
      </c>
      <c r="B4" s="84" t="s">
        <v>80</v>
      </c>
      <c r="C4" s="84"/>
      <c r="D4" s="84"/>
      <c r="E4" s="84"/>
      <c r="F4" s="84"/>
      <c r="G4" s="84"/>
      <c r="H4" s="84"/>
      <c r="I4" s="84"/>
      <c r="J4" s="84"/>
      <c r="K4" s="79" t="s">
        <v>17</v>
      </c>
      <c r="L4" s="84" t="s">
        <v>80</v>
      </c>
      <c r="M4" s="84"/>
      <c r="N4" s="84"/>
      <c r="O4" s="84"/>
      <c r="P4" s="84"/>
      <c r="Q4" s="84"/>
      <c r="R4" s="84"/>
      <c r="S4" s="84"/>
      <c r="U4" s="79" t="s">
        <v>17</v>
      </c>
      <c r="V4" s="84" t="s">
        <v>80</v>
      </c>
      <c r="W4" s="84"/>
      <c r="X4" s="84"/>
      <c r="Y4" s="84"/>
      <c r="Z4" s="84"/>
      <c r="AA4" s="84"/>
      <c r="AB4" s="84"/>
      <c r="AC4" s="84"/>
      <c r="AE4" s="79" t="s">
        <v>17</v>
      </c>
      <c r="AF4" s="84" t="s">
        <v>80</v>
      </c>
      <c r="AG4" s="84"/>
      <c r="AH4" s="84"/>
      <c r="AI4" s="84"/>
      <c r="AJ4" s="84"/>
      <c r="AK4" s="84"/>
      <c r="AL4" s="84"/>
      <c r="AM4" s="84"/>
    </row>
    <row r="5" spans="1:42" ht="14.25" customHeight="1" x14ac:dyDescent="0.2">
      <c r="A5" s="79" t="s">
        <v>41</v>
      </c>
      <c r="B5" s="84" t="s">
        <v>81</v>
      </c>
      <c r="C5" s="84"/>
      <c r="D5" s="84"/>
      <c r="E5" s="84"/>
      <c r="F5" s="84"/>
      <c r="G5" s="84"/>
      <c r="H5" s="84"/>
      <c r="I5" s="84"/>
      <c r="J5" s="84"/>
      <c r="K5" s="79" t="s">
        <v>41</v>
      </c>
      <c r="L5" s="84" t="s">
        <v>81</v>
      </c>
      <c r="M5" s="84"/>
      <c r="N5" s="84"/>
      <c r="O5" s="84"/>
      <c r="P5" s="84"/>
      <c r="Q5" s="84"/>
      <c r="R5" s="84"/>
      <c r="S5" s="84"/>
      <c r="U5" s="79" t="s">
        <v>41</v>
      </c>
      <c r="V5" s="84" t="s">
        <v>81</v>
      </c>
      <c r="W5" s="84"/>
      <c r="X5" s="84"/>
      <c r="Y5" s="84"/>
      <c r="Z5" s="84"/>
      <c r="AA5" s="84"/>
      <c r="AB5" s="84"/>
      <c r="AC5" s="84"/>
      <c r="AE5" s="79" t="s">
        <v>41</v>
      </c>
      <c r="AF5" s="84" t="s">
        <v>81</v>
      </c>
      <c r="AG5" s="84"/>
      <c r="AH5" s="84"/>
      <c r="AI5" s="84"/>
      <c r="AJ5" s="84"/>
      <c r="AK5" s="84"/>
      <c r="AL5" s="84"/>
      <c r="AM5" s="84"/>
    </row>
    <row r="6" spans="1:42" ht="14.25" customHeight="1" x14ac:dyDescent="0.25">
      <c r="A6" s="79" t="s">
        <v>20</v>
      </c>
      <c r="B6" s="84" t="s">
        <v>368</v>
      </c>
      <c r="C6" s="84" t="s">
        <v>369</v>
      </c>
      <c r="D6" s="507"/>
      <c r="E6" s="84"/>
      <c r="F6" s="84"/>
      <c r="G6" s="84"/>
      <c r="H6" s="84"/>
      <c r="I6" s="84"/>
      <c r="J6" s="84"/>
      <c r="K6" s="79" t="s">
        <v>20</v>
      </c>
      <c r="L6" s="84" t="s">
        <v>368</v>
      </c>
      <c r="M6" s="84"/>
      <c r="N6" s="84" t="s">
        <v>369</v>
      </c>
      <c r="O6" s="84"/>
      <c r="P6" s="84"/>
      <c r="Q6" s="84"/>
      <c r="R6" s="84"/>
      <c r="S6" s="84"/>
      <c r="U6" s="79" t="s">
        <v>20</v>
      </c>
      <c r="V6" s="84" t="s">
        <v>368</v>
      </c>
      <c r="W6" s="84"/>
      <c r="X6" s="84" t="s">
        <v>369</v>
      </c>
      <c r="Y6" s="84"/>
      <c r="Z6" s="84"/>
      <c r="AA6" s="84"/>
      <c r="AB6" s="84"/>
      <c r="AC6" s="84"/>
      <c r="AE6" s="79" t="s">
        <v>20</v>
      </c>
      <c r="AF6" s="84" t="s">
        <v>368</v>
      </c>
      <c r="AG6" s="84"/>
      <c r="AH6" s="84" t="s">
        <v>369</v>
      </c>
      <c r="AI6" s="84"/>
      <c r="AJ6" s="84"/>
      <c r="AK6" s="84"/>
      <c r="AL6" s="84"/>
      <c r="AM6" s="84"/>
    </row>
    <row r="7" spans="1:42" ht="14.25" customHeight="1" x14ac:dyDescent="0.2">
      <c r="A7" s="79" t="s">
        <v>22</v>
      </c>
      <c r="B7" s="84" t="s">
        <v>83</v>
      </c>
      <c r="C7" s="84"/>
      <c r="D7" s="84"/>
      <c r="E7" s="84"/>
      <c r="F7" s="84"/>
      <c r="G7" s="84"/>
      <c r="H7" s="84"/>
      <c r="I7" s="84"/>
      <c r="J7" s="84"/>
      <c r="K7" s="79" t="s">
        <v>22</v>
      </c>
      <c r="L7" s="84" t="s">
        <v>83</v>
      </c>
      <c r="M7" s="84"/>
      <c r="N7" s="84"/>
      <c r="O7" s="84"/>
      <c r="P7" s="84"/>
      <c r="Q7" s="84"/>
      <c r="R7" s="84"/>
      <c r="S7" s="84"/>
      <c r="U7" s="79" t="s">
        <v>22</v>
      </c>
      <c r="V7" s="84" t="s">
        <v>83</v>
      </c>
      <c r="W7" s="84"/>
      <c r="X7" s="84"/>
      <c r="Y7" s="84"/>
      <c r="Z7" s="84"/>
      <c r="AA7" s="84"/>
      <c r="AB7" s="84"/>
      <c r="AC7" s="84"/>
      <c r="AE7" s="79" t="s">
        <v>22</v>
      </c>
      <c r="AF7" s="84" t="s">
        <v>83</v>
      </c>
      <c r="AG7" s="84"/>
      <c r="AH7" s="84"/>
      <c r="AI7" s="84"/>
      <c r="AJ7" s="84"/>
      <c r="AK7" s="84"/>
      <c r="AL7" s="84"/>
      <c r="AM7" s="84"/>
    </row>
    <row r="8" spans="1:42" ht="14.25" customHeight="1" x14ac:dyDescent="0.2">
      <c r="A8" s="79" t="s">
        <v>21</v>
      </c>
      <c r="B8" s="84" t="s">
        <v>85</v>
      </c>
      <c r="C8" s="84"/>
      <c r="D8" s="84"/>
      <c r="E8" s="84"/>
      <c r="F8" s="84"/>
      <c r="G8" s="84"/>
      <c r="H8" s="84"/>
      <c r="I8" s="84"/>
      <c r="J8" s="84"/>
      <c r="K8" s="79" t="s">
        <v>21</v>
      </c>
      <c r="L8" s="84" t="s">
        <v>85</v>
      </c>
      <c r="M8" s="84"/>
      <c r="N8" s="84"/>
      <c r="O8" s="84"/>
      <c r="P8" s="84"/>
      <c r="Q8" s="84"/>
      <c r="R8" s="84"/>
      <c r="S8" s="84"/>
      <c r="U8" s="79" t="s">
        <v>21</v>
      </c>
      <c r="V8" s="84" t="s">
        <v>85</v>
      </c>
      <c r="W8" s="84"/>
      <c r="X8" s="84"/>
      <c r="Y8" s="84"/>
      <c r="Z8" s="84"/>
      <c r="AA8" s="84"/>
      <c r="AB8" s="84"/>
      <c r="AC8" s="84"/>
      <c r="AE8" s="79" t="s">
        <v>21</v>
      </c>
      <c r="AF8" s="84" t="s">
        <v>85</v>
      </c>
      <c r="AG8" s="84"/>
      <c r="AH8" s="84"/>
      <c r="AI8" s="84"/>
      <c r="AJ8" s="84"/>
      <c r="AK8" s="84"/>
      <c r="AL8" s="84"/>
      <c r="AM8" s="84"/>
    </row>
    <row r="9" spans="1:42" ht="14.25" customHeight="1" x14ac:dyDescent="0.2">
      <c r="A9" s="508" t="s">
        <v>23</v>
      </c>
      <c r="B9" s="84" t="s">
        <v>275</v>
      </c>
      <c r="C9" s="84"/>
      <c r="D9" s="84"/>
      <c r="E9" s="84"/>
      <c r="F9" s="84"/>
      <c r="G9" s="84"/>
      <c r="H9" s="84"/>
      <c r="I9" s="84"/>
      <c r="J9" s="84"/>
      <c r="K9" s="508" t="s">
        <v>23</v>
      </c>
      <c r="L9" s="84" t="s">
        <v>275</v>
      </c>
      <c r="M9" s="84"/>
      <c r="N9" s="84"/>
      <c r="O9" s="84"/>
      <c r="P9" s="84"/>
      <c r="Q9" s="84"/>
      <c r="R9" s="84"/>
      <c r="S9" s="84"/>
      <c r="U9" s="508" t="s">
        <v>23</v>
      </c>
      <c r="V9" s="84" t="s">
        <v>275</v>
      </c>
      <c r="W9" s="84"/>
      <c r="X9" s="84"/>
      <c r="Y9" s="84"/>
      <c r="Z9" s="84"/>
      <c r="AA9" s="84"/>
      <c r="AB9" s="84"/>
      <c r="AC9" s="84"/>
      <c r="AE9" s="508" t="s">
        <v>23</v>
      </c>
      <c r="AF9" s="84" t="s">
        <v>275</v>
      </c>
      <c r="AG9" s="84"/>
      <c r="AH9" s="84"/>
      <c r="AI9" s="84"/>
      <c r="AJ9" s="84"/>
      <c r="AK9" s="84"/>
      <c r="AL9" s="84"/>
      <c r="AM9" s="84"/>
    </row>
    <row r="10" spans="1:42" ht="14.25" customHeight="1" x14ac:dyDescent="0.2">
      <c r="A10" s="463" t="s">
        <v>24</v>
      </c>
      <c r="B10" s="464" t="s">
        <v>242</v>
      </c>
      <c r="C10" s="377" t="s">
        <v>241</v>
      </c>
      <c r="D10" s="84"/>
      <c r="E10" s="84"/>
      <c r="F10" s="84"/>
      <c r="G10" s="84"/>
      <c r="H10" s="84"/>
      <c r="I10" s="84"/>
      <c r="K10" s="463" t="s">
        <v>24</v>
      </c>
      <c r="L10" s="464" t="s">
        <v>242</v>
      </c>
      <c r="M10" s="377" t="s">
        <v>241</v>
      </c>
      <c r="U10" s="463" t="s">
        <v>24</v>
      </c>
      <c r="V10" s="464" t="s">
        <v>242</v>
      </c>
      <c r="W10" s="377" t="s">
        <v>241</v>
      </c>
      <c r="AE10" s="463" t="s">
        <v>24</v>
      </c>
      <c r="AF10" s="464" t="s">
        <v>242</v>
      </c>
      <c r="AG10" s="377" t="s">
        <v>241</v>
      </c>
    </row>
    <row r="12" spans="1:42" ht="14.25" customHeight="1" x14ac:dyDescent="0.2">
      <c r="A12" s="84" t="s">
        <v>326</v>
      </c>
      <c r="B12" s="111">
        <f>SUM(Turbinas!B37)</f>
        <v>1120851.48</v>
      </c>
      <c r="C12" s="111" t="s">
        <v>370</v>
      </c>
      <c r="D12" s="84"/>
      <c r="E12" s="84"/>
      <c r="F12" s="84"/>
      <c r="G12" s="84"/>
      <c r="H12" s="84"/>
      <c r="I12" s="84"/>
      <c r="J12" s="84"/>
      <c r="K12" s="84" t="s">
        <v>326</v>
      </c>
      <c r="L12" s="111">
        <f>SUM(Turbinas!C37)</f>
        <v>4327774.92</v>
      </c>
      <c r="M12" s="111" t="s">
        <v>370</v>
      </c>
      <c r="N12" s="84"/>
      <c r="O12" s="84"/>
      <c r="P12" s="84"/>
      <c r="Q12" s="84"/>
      <c r="R12" s="84"/>
      <c r="S12" s="84"/>
      <c r="U12" s="84" t="s">
        <v>326</v>
      </c>
      <c r="V12" s="111">
        <f>SUM(Turbinas!D37)</f>
        <v>3259842.6</v>
      </c>
      <c r="W12" s="111" t="s">
        <v>370</v>
      </c>
      <c r="X12" s="84"/>
      <c r="Y12" s="84"/>
      <c r="Z12" s="84"/>
      <c r="AA12" s="84"/>
      <c r="AB12" s="84"/>
      <c r="AC12" s="84"/>
      <c r="AE12" s="84" t="s">
        <v>326</v>
      </c>
      <c r="AF12" s="111">
        <f>SUM(Turbinas!E37)</f>
        <v>3348002.7</v>
      </c>
      <c r="AG12" s="111" t="s">
        <v>370</v>
      </c>
      <c r="AH12" s="84"/>
      <c r="AI12" s="84"/>
      <c r="AJ12" s="84"/>
      <c r="AK12" s="84"/>
      <c r="AL12" s="84"/>
      <c r="AM12" s="84"/>
    </row>
    <row r="13" spans="1:42" ht="14.25" customHeight="1" x14ac:dyDescent="0.2">
      <c r="A13" s="84" t="s">
        <v>90</v>
      </c>
      <c r="B13" s="111">
        <f>Turbinas!Y17</f>
        <v>0.01</v>
      </c>
      <c r="C13" s="123"/>
      <c r="D13" s="84"/>
      <c r="E13" s="84"/>
      <c r="F13" s="84"/>
      <c r="G13" s="84"/>
      <c r="H13" s="84"/>
      <c r="I13" s="84"/>
      <c r="J13" s="84"/>
      <c r="K13" s="84" t="s">
        <v>90</v>
      </c>
      <c r="L13" s="111">
        <f>Turbinas!Z17</f>
        <v>0.01</v>
      </c>
      <c r="M13" s="123"/>
      <c r="N13" s="84"/>
      <c r="O13" s="84"/>
      <c r="P13" s="84"/>
      <c r="Q13" s="84"/>
      <c r="R13" s="84"/>
      <c r="S13" s="84"/>
      <c r="U13" s="84" t="s">
        <v>90</v>
      </c>
      <c r="V13" s="111">
        <f>Turbinas!AA17</f>
        <v>0.01</v>
      </c>
      <c r="W13" s="123"/>
      <c r="X13" s="84"/>
      <c r="Y13" s="84"/>
      <c r="Z13" s="84"/>
      <c r="AA13" s="84"/>
      <c r="AB13" s="84"/>
      <c r="AC13" s="84"/>
      <c r="AE13" s="84" t="s">
        <v>90</v>
      </c>
      <c r="AF13" s="111">
        <f>Turbinas!AB17</f>
        <v>0.01</v>
      </c>
      <c r="AG13" s="123"/>
      <c r="AH13" s="84"/>
      <c r="AI13" s="84"/>
      <c r="AJ13" s="84"/>
      <c r="AK13" s="84"/>
      <c r="AL13" s="84"/>
      <c r="AM13" s="84"/>
      <c r="AO13">
        <f>(73.96+0.003*25+0.0006*298)*2.2046*0.138</f>
        <v>22.578420600240001</v>
      </c>
      <c r="AP13" t="s">
        <v>119</v>
      </c>
    </row>
    <row r="16" spans="1:42" ht="14.25" customHeight="1" x14ac:dyDescent="0.2">
      <c r="A16" s="84" t="s">
        <v>91</v>
      </c>
      <c r="B16" s="84"/>
      <c r="C16" s="84"/>
      <c r="D16" s="84"/>
      <c r="E16" s="84"/>
      <c r="F16" s="84"/>
      <c r="G16" s="84"/>
      <c r="H16" s="84"/>
      <c r="I16" s="84"/>
      <c r="J16" s="84"/>
      <c r="K16" s="84" t="s">
        <v>91</v>
      </c>
      <c r="L16" s="84"/>
      <c r="M16" s="84"/>
      <c r="N16" s="84"/>
      <c r="O16" s="84"/>
      <c r="P16" s="84"/>
      <c r="Q16" s="84"/>
      <c r="R16" s="84"/>
      <c r="S16" s="84"/>
      <c r="U16" s="84" t="s">
        <v>91</v>
      </c>
      <c r="V16" s="84"/>
      <c r="W16" s="84"/>
      <c r="X16" s="84"/>
      <c r="Y16" s="84"/>
      <c r="Z16" s="84"/>
      <c r="AA16" s="84"/>
      <c r="AB16" s="84"/>
      <c r="AC16" s="84"/>
      <c r="AE16" s="84" t="s">
        <v>91</v>
      </c>
      <c r="AF16" s="84"/>
      <c r="AG16" s="84"/>
      <c r="AH16" s="84"/>
      <c r="AI16" s="84"/>
      <c r="AJ16" s="84"/>
      <c r="AK16" s="84"/>
      <c r="AL16" s="84"/>
      <c r="AM16" s="84"/>
    </row>
    <row r="18" spans="1:39" ht="14.25" customHeight="1" x14ac:dyDescent="0.2">
      <c r="A18" s="199" t="s">
        <v>92</v>
      </c>
      <c r="B18" s="382">
        <v>1.2E-2</v>
      </c>
      <c r="C18" s="371" t="s">
        <v>93</v>
      </c>
      <c r="D18" s="383">
        <f>B12</f>
        <v>1120851.48</v>
      </c>
      <c r="E18" s="371" t="s">
        <v>349</v>
      </c>
      <c r="F18" s="382">
        <v>0.13800000000000001</v>
      </c>
      <c r="G18" s="371" t="s">
        <v>95</v>
      </c>
      <c r="H18" s="382">
        <v>1</v>
      </c>
      <c r="I18" s="371" t="s">
        <v>96</v>
      </c>
      <c r="J18" s="194"/>
      <c r="K18" s="199" t="s">
        <v>92</v>
      </c>
      <c r="L18" s="382">
        <v>1.2E-2</v>
      </c>
      <c r="M18" s="371" t="s">
        <v>93</v>
      </c>
      <c r="N18" s="383">
        <f>L12</f>
        <v>4327774.92</v>
      </c>
      <c r="O18" s="371" t="s">
        <v>349</v>
      </c>
      <c r="P18" s="382">
        <v>0.13800000000000001</v>
      </c>
      <c r="Q18" s="371" t="s">
        <v>95</v>
      </c>
      <c r="R18" s="382">
        <v>1</v>
      </c>
      <c r="S18" s="371" t="s">
        <v>96</v>
      </c>
      <c r="U18" s="199" t="s">
        <v>92</v>
      </c>
      <c r="V18" s="382">
        <v>1.2E-2</v>
      </c>
      <c r="W18" s="371" t="s">
        <v>93</v>
      </c>
      <c r="X18" s="383">
        <f>V12</f>
        <v>3259842.6</v>
      </c>
      <c r="Y18" s="371" t="s">
        <v>349</v>
      </c>
      <c r="Z18" s="382">
        <v>0.13800000000000001</v>
      </c>
      <c r="AA18" s="371" t="s">
        <v>95</v>
      </c>
      <c r="AB18" s="382">
        <v>1</v>
      </c>
      <c r="AC18" s="371" t="s">
        <v>96</v>
      </c>
      <c r="AE18" s="199" t="s">
        <v>92</v>
      </c>
      <c r="AF18" s="382">
        <v>1.2E-2</v>
      </c>
      <c r="AG18" s="371" t="s">
        <v>93</v>
      </c>
      <c r="AH18" s="383">
        <f>AF12</f>
        <v>3348002.7</v>
      </c>
      <c r="AI18" s="371" t="s">
        <v>349</v>
      </c>
      <c r="AJ18" s="382">
        <v>0.13800000000000001</v>
      </c>
      <c r="AK18" s="371" t="s">
        <v>95</v>
      </c>
      <c r="AL18" s="382">
        <v>1</v>
      </c>
      <c r="AM18" s="371" t="s">
        <v>96</v>
      </c>
    </row>
    <row r="19" spans="1:39" ht="14.25" customHeight="1" x14ac:dyDescent="0.2">
      <c r="A19" s="84"/>
      <c r="B19" s="482"/>
      <c r="C19" s="386" t="s">
        <v>95</v>
      </c>
      <c r="D19" s="482"/>
      <c r="E19" s="386" t="s">
        <v>65</v>
      </c>
      <c r="F19" s="482"/>
      <c r="G19" s="386" t="s">
        <v>94</v>
      </c>
      <c r="H19" s="209">
        <v>2000</v>
      </c>
      <c r="I19" s="84" t="s">
        <v>93</v>
      </c>
      <c r="J19" s="194"/>
      <c r="K19" s="84"/>
      <c r="L19" s="482"/>
      <c r="M19" s="386" t="s">
        <v>95</v>
      </c>
      <c r="N19" s="482"/>
      <c r="O19" s="386" t="s">
        <v>65</v>
      </c>
      <c r="P19" s="482"/>
      <c r="Q19" s="386" t="s">
        <v>94</v>
      </c>
      <c r="R19" s="209">
        <v>2000</v>
      </c>
      <c r="S19" s="84" t="s">
        <v>93</v>
      </c>
      <c r="U19" s="84"/>
      <c r="V19" s="482"/>
      <c r="W19" s="386" t="s">
        <v>95</v>
      </c>
      <c r="X19" s="482"/>
      <c r="Y19" s="386" t="s">
        <v>65</v>
      </c>
      <c r="Z19" s="482"/>
      <c r="AA19" s="386" t="s">
        <v>94</v>
      </c>
      <c r="AB19" s="209">
        <v>2000</v>
      </c>
      <c r="AC19" s="84" t="s">
        <v>93</v>
      </c>
      <c r="AE19" s="84"/>
      <c r="AF19" s="482"/>
      <c r="AG19" s="386" t="s">
        <v>95</v>
      </c>
      <c r="AH19" s="482"/>
      <c r="AI19" s="386" t="s">
        <v>65</v>
      </c>
      <c r="AJ19" s="482"/>
      <c r="AK19" s="386" t="s">
        <v>94</v>
      </c>
      <c r="AL19" s="209">
        <v>2000</v>
      </c>
      <c r="AM19" s="84" t="s">
        <v>93</v>
      </c>
    </row>
    <row r="20" spans="1:39" ht="14.25" customHeight="1" x14ac:dyDescent="0.2">
      <c r="A20" s="84"/>
      <c r="B20" s="84"/>
      <c r="C20" s="84"/>
      <c r="D20" s="84"/>
      <c r="E20" s="84"/>
      <c r="F20" s="84"/>
      <c r="G20" s="84"/>
      <c r="H20" s="84"/>
      <c r="I20" s="84"/>
      <c r="J20" s="194"/>
      <c r="K20" s="84"/>
      <c r="L20" s="84"/>
      <c r="M20" s="84"/>
      <c r="N20" s="84"/>
      <c r="O20" s="84"/>
      <c r="P20" s="84"/>
      <c r="Q20" s="84"/>
      <c r="R20" s="84"/>
      <c r="S20" s="84"/>
      <c r="U20" s="84"/>
      <c r="V20" s="84"/>
      <c r="W20" s="84"/>
      <c r="X20" s="84"/>
      <c r="Y20" s="84"/>
      <c r="Z20" s="84"/>
      <c r="AA20" s="84"/>
      <c r="AB20" s="84"/>
      <c r="AC20" s="84"/>
      <c r="AE20" s="84"/>
      <c r="AF20" s="84"/>
      <c r="AG20" s="84"/>
      <c r="AH20" s="84"/>
      <c r="AI20" s="84"/>
      <c r="AJ20" s="84"/>
      <c r="AK20" s="84"/>
      <c r="AL20" s="84"/>
      <c r="AM20" s="84"/>
    </row>
    <row r="21" spans="1:39" ht="14.25" customHeight="1" x14ac:dyDescent="0.2">
      <c r="A21" s="199" t="s">
        <v>92</v>
      </c>
      <c r="B21" s="388">
        <f>(B18*D18*F18)/H19</f>
        <v>0.92806502544000002</v>
      </c>
      <c r="C21" s="202" t="s">
        <v>96</v>
      </c>
      <c r="D21" s="84"/>
      <c r="E21" s="199" t="s">
        <v>92</v>
      </c>
      <c r="F21" s="392">
        <f>B21*2000/8760</f>
        <v>0.21188699210958903</v>
      </c>
      <c r="G21" s="371" t="s">
        <v>93</v>
      </c>
      <c r="H21" s="84"/>
      <c r="I21" s="84"/>
      <c r="J21" s="194"/>
      <c r="K21" s="199" t="s">
        <v>92</v>
      </c>
      <c r="L21" s="388">
        <f>(L18*N18*P18)/R19</f>
        <v>3.5833976337600002</v>
      </c>
      <c r="M21" s="202" t="s">
        <v>96</v>
      </c>
      <c r="N21" s="84"/>
      <c r="O21" s="199" t="s">
        <v>92</v>
      </c>
      <c r="P21" s="392">
        <f>L21*2000/8760</f>
        <v>0.81812731364383562</v>
      </c>
      <c r="Q21" s="371" t="s">
        <v>93</v>
      </c>
      <c r="R21" s="84"/>
      <c r="S21" s="84"/>
      <c r="U21" s="199" t="s">
        <v>92</v>
      </c>
      <c r="V21" s="388">
        <f>(V18*X18*Z18)/AB19</f>
        <v>2.6991496728000004</v>
      </c>
      <c r="W21" s="202" t="s">
        <v>96</v>
      </c>
      <c r="X21" s="84"/>
      <c r="Y21" s="199" t="s">
        <v>92</v>
      </c>
      <c r="Z21" s="392">
        <f>V21*2000/8760</f>
        <v>0.61624421753424663</v>
      </c>
      <c r="AA21" s="371" t="s">
        <v>93</v>
      </c>
      <c r="AB21" s="84"/>
      <c r="AC21" s="84"/>
      <c r="AE21" s="199" t="s">
        <v>92</v>
      </c>
      <c r="AF21" s="388">
        <f>(AF18*AH18*AJ18)/AL19</f>
        <v>2.7721462356000006</v>
      </c>
      <c r="AG21" s="202" t="s">
        <v>96</v>
      </c>
      <c r="AH21" s="84"/>
      <c r="AI21" s="199" t="s">
        <v>92</v>
      </c>
      <c r="AJ21" s="392">
        <f>AF21*2000/8760</f>
        <v>0.6329100994520549</v>
      </c>
      <c r="AK21" s="371" t="s">
        <v>93</v>
      </c>
      <c r="AL21" s="84"/>
      <c r="AM21" s="84"/>
    </row>
    <row r="22" spans="1:39" ht="14.25" customHeight="1" x14ac:dyDescent="0.2">
      <c r="A22" s="84"/>
      <c r="B22" s="84"/>
      <c r="C22" s="194" t="s">
        <v>65</v>
      </c>
      <c r="D22" s="84"/>
      <c r="E22" s="84"/>
      <c r="F22" s="84"/>
      <c r="G22" s="84" t="s">
        <v>98</v>
      </c>
      <c r="H22" s="84"/>
      <c r="I22" s="84"/>
      <c r="J22" s="194"/>
      <c r="K22" s="84"/>
      <c r="L22" s="84"/>
      <c r="M22" s="194" t="s">
        <v>65</v>
      </c>
      <c r="N22" s="84"/>
      <c r="O22" s="84"/>
      <c r="P22" s="84"/>
      <c r="Q22" s="84" t="s">
        <v>98</v>
      </c>
      <c r="R22" s="84"/>
      <c r="S22" s="84"/>
      <c r="U22" s="84"/>
      <c r="V22" s="84"/>
      <c r="W22" s="194" t="s">
        <v>65</v>
      </c>
      <c r="X22" s="84"/>
      <c r="Y22" s="84"/>
      <c r="Z22" s="84"/>
      <c r="AA22" s="84" t="s">
        <v>98</v>
      </c>
      <c r="AB22" s="84"/>
      <c r="AC22" s="84"/>
      <c r="AE22" s="84"/>
      <c r="AF22" s="84"/>
      <c r="AG22" s="194" t="s">
        <v>65</v>
      </c>
      <c r="AH22" s="84"/>
      <c r="AI22" s="84"/>
      <c r="AJ22" s="84"/>
      <c r="AK22" s="84" t="s">
        <v>98</v>
      </c>
      <c r="AL22" s="84"/>
      <c r="AM22" s="84"/>
    </row>
    <row r="23" spans="1:39" ht="14.25" customHeight="1" x14ac:dyDescent="0.2">
      <c r="A23" s="84"/>
      <c r="B23" s="84"/>
      <c r="C23" s="84"/>
      <c r="D23" s="84"/>
      <c r="E23" s="84"/>
      <c r="F23" s="84"/>
      <c r="G23" s="84"/>
      <c r="H23" s="84"/>
      <c r="I23" s="84"/>
      <c r="J23" s="194"/>
      <c r="K23" s="84"/>
      <c r="L23" s="84"/>
      <c r="M23" s="84"/>
      <c r="N23" s="84"/>
      <c r="O23" s="84"/>
      <c r="P23" s="84"/>
      <c r="Q23" s="84"/>
      <c r="R23" s="84"/>
      <c r="S23" s="84"/>
      <c r="U23" s="84"/>
      <c r="V23" s="84"/>
      <c r="W23" s="84"/>
      <c r="X23" s="84"/>
      <c r="Y23" s="84"/>
      <c r="Z23" s="84"/>
      <c r="AA23" s="84"/>
      <c r="AB23" s="84"/>
      <c r="AC23" s="84"/>
      <c r="AE23" s="84"/>
      <c r="AF23" s="84"/>
      <c r="AG23" s="84"/>
      <c r="AH23" s="84"/>
      <c r="AI23" s="84"/>
      <c r="AJ23" s="84"/>
      <c r="AK23" s="84"/>
      <c r="AL23" s="84"/>
      <c r="AM23" s="84"/>
    </row>
    <row r="24" spans="1:39" ht="14.25" customHeight="1" x14ac:dyDescent="0.2">
      <c r="A24" s="84" t="s">
        <v>99</v>
      </c>
      <c r="B24" s="84"/>
      <c r="C24" s="84"/>
      <c r="D24" s="84"/>
      <c r="E24" s="84"/>
      <c r="F24" s="84"/>
      <c r="G24" s="84"/>
      <c r="H24" s="84"/>
      <c r="I24" s="84"/>
      <c r="J24" s="194"/>
      <c r="K24" s="84" t="s">
        <v>99</v>
      </c>
      <c r="L24" s="84"/>
      <c r="M24" s="84"/>
      <c r="N24" s="84"/>
      <c r="O24" s="84"/>
      <c r="P24" s="84"/>
      <c r="Q24" s="84"/>
      <c r="R24" s="84"/>
      <c r="S24" s="84"/>
      <c r="U24" s="84" t="s">
        <v>99</v>
      </c>
      <c r="V24" s="84"/>
      <c r="W24" s="84"/>
      <c r="X24" s="84"/>
      <c r="Y24" s="84"/>
      <c r="Z24" s="84"/>
      <c r="AA24" s="84"/>
      <c r="AB24" s="84"/>
      <c r="AC24" s="84"/>
      <c r="AE24" s="84" t="s">
        <v>99</v>
      </c>
      <c r="AF24" s="84"/>
      <c r="AG24" s="84"/>
      <c r="AH24" s="84"/>
      <c r="AI24" s="84"/>
      <c r="AJ24" s="84"/>
      <c r="AK24" s="84"/>
      <c r="AL24" s="84"/>
      <c r="AM24" s="84"/>
    </row>
    <row r="25" spans="1:39" ht="14.25" customHeight="1" x14ac:dyDescent="0.2">
      <c r="A25" s="84"/>
      <c r="B25" s="84"/>
      <c r="C25" s="84"/>
      <c r="D25" s="84"/>
      <c r="E25" s="84"/>
      <c r="F25" s="84"/>
      <c r="G25" s="84"/>
      <c r="H25" s="84"/>
      <c r="I25" s="84"/>
      <c r="J25" s="194"/>
      <c r="K25" s="84"/>
      <c r="L25" s="84"/>
      <c r="M25" s="84"/>
      <c r="N25" s="84"/>
      <c r="O25" s="84"/>
      <c r="P25" s="84"/>
      <c r="Q25" s="84"/>
      <c r="R25" s="84"/>
      <c r="S25" s="84"/>
      <c r="U25" s="84"/>
      <c r="V25" s="84"/>
      <c r="W25" s="84"/>
      <c r="X25" s="84"/>
      <c r="Y25" s="84"/>
      <c r="Z25" s="84"/>
      <c r="AA25" s="84"/>
      <c r="AB25" s="84"/>
      <c r="AC25" s="84"/>
      <c r="AE25" s="84"/>
      <c r="AF25" s="84"/>
      <c r="AG25" s="84"/>
      <c r="AH25" s="84"/>
      <c r="AI25" s="84"/>
      <c r="AJ25" s="84"/>
      <c r="AK25" s="84"/>
      <c r="AL25" s="84"/>
      <c r="AM25" s="84"/>
    </row>
    <row r="26" spans="1:39" ht="14.25" customHeight="1" x14ac:dyDescent="0.2">
      <c r="A26" s="199" t="s">
        <v>92</v>
      </c>
      <c r="B26" s="391">
        <f>1.01*B13</f>
        <v>1.01E-2</v>
      </c>
      <c r="C26" s="371" t="s">
        <v>93</v>
      </c>
      <c r="D26" s="383">
        <f>B12</f>
        <v>1120851.48</v>
      </c>
      <c r="E26" s="371" t="s">
        <v>349</v>
      </c>
      <c r="F26" s="382">
        <v>0.13800000000000001</v>
      </c>
      <c r="G26" s="371" t="s">
        <v>95</v>
      </c>
      <c r="H26" s="382">
        <v>1</v>
      </c>
      <c r="I26" s="371" t="s">
        <v>96</v>
      </c>
      <c r="J26" s="194"/>
      <c r="K26" s="199" t="s">
        <v>92</v>
      </c>
      <c r="L26" s="391">
        <f>1.01*L13</f>
        <v>1.01E-2</v>
      </c>
      <c r="M26" s="371" t="s">
        <v>93</v>
      </c>
      <c r="N26" s="383">
        <f>L12</f>
        <v>4327774.92</v>
      </c>
      <c r="O26" s="371" t="s">
        <v>349</v>
      </c>
      <c r="P26" s="382">
        <v>0.13800000000000001</v>
      </c>
      <c r="Q26" s="371" t="s">
        <v>95</v>
      </c>
      <c r="R26" s="382">
        <v>1</v>
      </c>
      <c r="S26" s="371" t="s">
        <v>96</v>
      </c>
      <c r="U26" s="199" t="s">
        <v>92</v>
      </c>
      <c r="V26" s="391">
        <f>1.01*V13</f>
        <v>1.01E-2</v>
      </c>
      <c r="W26" s="371" t="s">
        <v>93</v>
      </c>
      <c r="X26" s="383">
        <f>V12</f>
        <v>3259842.6</v>
      </c>
      <c r="Y26" s="371" t="s">
        <v>349</v>
      </c>
      <c r="Z26" s="382">
        <v>0.13800000000000001</v>
      </c>
      <c r="AA26" s="371" t="s">
        <v>95</v>
      </c>
      <c r="AB26" s="382">
        <v>1</v>
      </c>
      <c r="AC26" s="371" t="s">
        <v>96</v>
      </c>
      <c r="AE26" s="199" t="s">
        <v>92</v>
      </c>
      <c r="AF26" s="391">
        <f>1.01*AF13</f>
        <v>1.01E-2</v>
      </c>
      <c r="AG26" s="371" t="s">
        <v>93</v>
      </c>
      <c r="AH26" s="383">
        <f>AF12</f>
        <v>3348002.7</v>
      </c>
      <c r="AI26" s="371" t="s">
        <v>349</v>
      </c>
      <c r="AJ26" s="382">
        <v>0.13800000000000001</v>
      </c>
      <c r="AK26" s="371" t="s">
        <v>95</v>
      </c>
      <c r="AL26" s="382">
        <v>1</v>
      </c>
      <c r="AM26" s="371" t="s">
        <v>96</v>
      </c>
    </row>
    <row r="27" spans="1:39" ht="14.25" customHeight="1" x14ac:dyDescent="0.2">
      <c r="A27" s="84"/>
      <c r="B27" s="482"/>
      <c r="C27" s="386" t="s">
        <v>95</v>
      </c>
      <c r="D27" s="482"/>
      <c r="E27" s="386" t="s">
        <v>65</v>
      </c>
      <c r="F27" s="482"/>
      <c r="G27" s="386" t="s">
        <v>94</v>
      </c>
      <c r="H27" s="209">
        <v>2000</v>
      </c>
      <c r="I27" s="84" t="s">
        <v>93</v>
      </c>
      <c r="J27" s="194"/>
      <c r="K27" s="84"/>
      <c r="L27" s="482"/>
      <c r="M27" s="386" t="s">
        <v>95</v>
      </c>
      <c r="N27" s="482"/>
      <c r="O27" s="386" t="s">
        <v>65</v>
      </c>
      <c r="P27" s="482"/>
      <c r="Q27" s="386" t="s">
        <v>94</v>
      </c>
      <c r="R27" s="209">
        <v>2000</v>
      </c>
      <c r="S27" s="84" t="s">
        <v>93</v>
      </c>
      <c r="U27" s="84"/>
      <c r="V27" s="482"/>
      <c r="W27" s="386" t="s">
        <v>95</v>
      </c>
      <c r="X27" s="482"/>
      <c r="Y27" s="386" t="s">
        <v>65</v>
      </c>
      <c r="Z27" s="482"/>
      <c r="AA27" s="386" t="s">
        <v>94</v>
      </c>
      <c r="AB27" s="209">
        <v>2000</v>
      </c>
      <c r="AC27" s="84" t="s">
        <v>93</v>
      </c>
      <c r="AE27" s="84"/>
      <c r="AF27" s="482"/>
      <c r="AG27" s="386" t="s">
        <v>95</v>
      </c>
      <c r="AH27" s="482"/>
      <c r="AI27" s="386" t="s">
        <v>65</v>
      </c>
      <c r="AJ27" s="482"/>
      <c r="AK27" s="386" t="s">
        <v>94</v>
      </c>
      <c r="AL27" s="209">
        <v>2000</v>
      </c>
      <c r="AM27" s="84" t="s">
        <v>93</v>
      </c>
    </row>
    <row r="28" spans="1:39" ht="14.25" customHeight="1" x14ac:dyDescent="0.2">
      <c r="A28" s="84"/>
      <c r="B28" s="84"/>
      <c r="C28" s="84"/>
      <c r="D28" s="84"/>
      <c r="E28" s="84"/>
      <c r="F28" s="84"/>
      <c r="G28" s="84"/>
      <c r="H28" s="84"/>
      <c r="I28" s="84"/>
      <c r="J28" s="194"/>
      <c r="K28" s="84"/>
      <c r="L28" s="84"/>
      <c r="M28" s="84"/>
      <c r="N28" s="84"/>
      <c r="O28" s="84"/>
      <c r="P28" s="84"/>
      <c r="Q28" s="84"/>
      <c r="R28" s="84"/>
      <c r="S28" s="84"/>
      <c r="U28" s="84"/>
      <c r="V28" s="84"/>
      <c r="W28" s="84"/>
      <c r="X28" s="84"/>
      <c r="Y28" s="84"/>
      <c r="Z28" s="84"/>
      <c r="AA28" s="84"/>
      <c r="AB28" s="84"/>
      <c r="AC28" s="84"/>
      <c r="AE28" s="84"/>
      <c r="AF28" s="84"/>
      <c r="AG28" s="84"/>
      <c r="AH28" s="84"/>
      <c r="AI28" s="84"/>
      <c r="AJ28" s="84"/>
      <c r="AK28" s="84"/>
      <c r="AL28" s="84"/>
      <c r="AM28" s="84"/>
    </row>
    <row r="29" spans="1:39" ht="14.25" customHeight="1" x14ac:dyDescent="0.2">
      <c r="A29" s="199" t="s">
        <v>92</v>
      </c>
      <c r="B29" s="388">
        <f>(B26*D26*F26)/H27</f>
        <v>0.78112139641199996</v>
      </c>
      <c r="C29" s="202" t="s">
        <v>96</v>
      </c>
      <c r="D29" s="84"/>
      <c r="E29" s="199" t="s">
        <v>92</v>
      </c>
      <c r="F29" s="392">
        <f>B29*2000/8760</f>
        <v>0.17833821835890409</v>
      </c>
      <c r="G29" s="371" t="s">
        <v>93</v>
      </c>
      <c r="H29" s="84"/>
      <c r="I29" s="84"/>
      <c r="J29" s="194"/>
      <c r="K29" s="199" t="s">
        <v>92</v>
      </c>
      <c r="L29" s="388">
        <f>(L26*N26*P26)/R27</f>
        <v>3.0160263417480002</v>
      </c>
      <c r="M29" s="202" t="s">
        <v>96</v>
      </c>
      <c r="N29" s="84"/>
      <c r="O29" s="199" t="s">
        <v>92</v>
      </c>
      <c r="P29" s="392">
        <f>L29*2000/8760</f>
        <v>0.68859048898356168</v>
      </c>
      <c r="Q29" s="371" t="s">
        <v>93</v>
      </c>
      <c r="R29" s="84"/>
      <c r="S29" s="84"/>
      <c r="U29" s="199" t="s">
        <v>92</v>
      </c>
      <c r="V29" s="388">
        <f>(V26*X26*Z26)/AB27</f>
        <v>2.27178430794</v>
      </c>
      <c r="W29" s="202" t="s">
        <v>96</v>
      </c>
      <c r="X29" s="84"/>
      <c r="Y29" s="199" t="s">
        <v>92</v>
      </c>
      <c r="Z29" s="392">
        <f>V29*2000/8760</f>
        <v>0.51867221642465755</v>
      </c>
      <c r="AA29" s="371" t="s">
        <v>93</v>
      </c>
      <c r="AB29" s="84"/>
      <c r="AC29" s="84"/>
      <c r="AE29" s="199" t="s">
        <v>92</v>
      </c>
      <c r="AF29" s="388">
        <f>(AF26*AH26*AJ26)/AL27</f>
        <v>2.3332230816300004</v>
      </c>
      <c r="AG29" s="202" t="s">
        <v>96</v>
      </c>
      <c r="AH29" s="84"/>
      <c r="AI29" s="199" t="s">
        <v>92</v>
      </c>
      <c r="AJ29" s="392">
        <f>AF29*2000/8760</f>
        <v>0.53269933370547951</v>
      </c>
      <c r="AK29" s="371" t="s">
        <v>93</v>
      </c>
      <c r="AL29" s="84"/>
      <c r="AM29" s="84"/>
    </row>
    <row r="30" spans="1:39" ht="14.25" customHeight="1" x14ac:dyDescent="0.2">
      <c r="A30" s="84"/>
      <c r="B30" s="84"/>
      <c r="C30" s="194" t="s">
        <v>65</v>
      </c>
      <c r="D30" s="84"/>
      <c r="E30" s="84"/>
      <c r="F30" s="84"/>
      <c r="G30" s="84" t="s">
        <v>98</v>
      </c>
      <c r="H30" s="84"/>
      <c r="I30" s="84"/>
      <c r="J30" s="194"/>
      <c r="K30" s="84"/>
      <c r="L30" s="84"/>
      <c r="M30" s="194" t="s">
        <v>65</v>
      </c>
      <c r="N30" s="84"/>
      <c r="O30" s="84"/>
      <c r="P30" s="84"/>
      <c r="Q30" s="84" t="s">
        <v>98</v>
      </c>
      <c r="R30" s="84"/>
      <c r="S30" s="84"/>
      <c r="U30" s="84"/>
      <c r="V30" s="84"/>
      <c r="W30" s="194" t="s">
        <v>65</v>
      </c>
      <c r="X30" s="84"/>
      <c r="Y30" s="84"/>
      <c r="Z30" s="84"/>
      <c r="AA30" s="84" t="s">
        <v>98</v>
      </c>
      <c r="AB30" s="84"/>
      <c r="AC30" s="84"/>
      <c r="AE30" s="84"/>
      <c r="AF30" s="84"/>
      <c r="AG30" s="194" t="s">
        <v>65</v>
      </c>
      <c r="AH30" s="84"/>
      <c r="AI30" s="84"/>
      <c r="AJ30" s="84"/>
      <c r="AK30" s="84" t="s">
        <v>98</v>
      </c>
      <c r="AL30" s="84"/>
      <c r="AM30" s="84"/>
    </row>
    <row r="31" spans="1:39" ht="14.25" customHeight="1" x14ac:dyDescent="0.2">
      <c r="A31" s="84"/>
      <c r="B31" s="84"/>
      <c r="C31" s="84"/>
      <c r="D31" s="84"/>
      <c r="E31" s="84"/>
      <c r="F31" s="84"/>
      <c r="G31" s="84"/>
      <c r="H31" s="84"/>
      <c r="I31" s="84"/>
      <c r="J31" s="194"/>
      <c r="K31" s="84"/>
      <c r="L31" s="84"/>
      <c r="M31" s="84"/>
      <c r="N31" s="84"/>
      <c r="O31" s="84"/>
      <c r="P31" s="84"/>
      <c r="Q31" s="84"/>
      <c r="R31" s="84"/>
      <c r="S31" s="84"/>
      <c r="U31" s="84"/>
      <c r="V31" s="84"/>
      <c r="W31" s="84"/>
      <c r="X31" s="84"/>
      <c r="Y31" s="84"/>
      <c r="Z31" s="84"/>
      <c r="AA31" s="84"/>
      <c r="AB31" s="84"/>
      <c r="AC31" s="84"/>
      <c r="AE31" s="84"/>
      <c r="AF31" s="84"/>
      <c r="AG31" s="84"/>
      <c r="AH31" s="84"/>
      <c r="AI31" s="84"/>
      <c r="AJ31" s="84"/>
      <c r="AK31" s="84"/>
      <c r="AL31" s="84"/>
      <c r="AM31" s="84"/>
    </row>
    <row r="32" spans="1:39" ht="14.25" customHeight="1" x14ac:dyDescent="0.2">
      <c r="A32" s="84" t="s">
        <v>100</v>
      </c>
      <c r="B32" s="84"/>
      <c r="C32" s="84"/>
      <c r="D32" s="84"/>
      <c r="E32" s="84"/>
      <c r="F32" s="84"/>
      <c r="G32" s="84"/>
      <c r="H32" s="84"/>
      <c r="I32" s="84"/>
      <c r="J32" s="194"/>
      <c r="K32" s="84" t="s">
        <v>100</v>
      </c>
      <c r="L32" s="84"/>
      <c r="M32" s="84"/>
      <c r="N32" s="84"/>
      <c r="O32" s="84"/>
      <c r="P32" s="84"/>
      <c r="Q32" s="84"/>
      <c r="R32" s="84"/>
      <c r="S32" s="84"/>
      <c r="U32" s="84" t="s">
        <v>100</v>
      </c>
      <c r="V32" s="84"/>
      <c r="W32" s="84"/>
      <c r="X32" s="84"/>
      <c r="Y32" s="84"/>
      <c r="Z32" s="84"/>
      <c r="AA32" s="84"/>
      <c r="AB32" s="84"/>
      <c r="AC32" s="84"/>
      <c r="AE32" s="84" t="s">
        <v>100</v>
      </c>
      <c r="AF32" s="84"/>
      <c r="AG32" s="84"/>
      <c r="AH32" s="84"/>
      <c r="AI32" s="84"/>
      <c r="AJ32" s="84"/>
      <c r="AK32" s="84"/>
      <c r="AL32" s="84"/>
      <c r="AM32" s="84"/>
    </row>
    <row r="33" spans="1:39" ht="14.25" customHeight="1" x14ac:dyDescent="0.2">
      <c r="A33" s="84"/>
      <c r="B33" s="84"/>
      <c r="C33" s="84"/>
      <c r="D33" s="84"/>
      <c r="E33" s="84"/>
      <c r="F33" s="84"/>
      <c r="G33" s="84"/>
      <c r="H33" s="84"/>
      <c r="I33" s="84"/>
      <c r="J33" s="194"/>
      <c r="K33" s="84"/>
      <c r="L33" s="84"/>
      <c r="M33" s="84"/>
      <c r="N33" s="84"/>
      <c r="O33" s="84"/>
      <c r="P33" s="84"/>
      <c r="Q33" s="84"/>
      <c r="R33" s="84"/>
      <c r="S33" s="84"/>
      <c r="U33" s="84"/>
      <c r="V33" s="84"/>
      <c r="W33" s="84"/>
      <c r="X33" s="84"/>
      <c r="Y33" s="84"/>
      <c r="Z33" s="84"/>
      <c r="AA33" s="84"/>
      <c r="AB33" s="84"/>
      <c r="AC33" s="84"/>
      <c r="AE33" s="84"/>
      <c r="AF33" s="84"/>
      <c r="AG33" s="84"/>
      <c r="AH33" s="84"/>
      <c r="AI33" s="84"/>
      <c r="AJ33" s="84"/>
      <c r="AK33" s="84"/>
      <c r="AL33" s="84"/>
      <c r="AM33" s="84"/>
    </row>
    <row r="34" spans="1:39" ht="14.25" customHeight="1" x14ac:dyDescent="0.25">
      <c r="A34" s="199" t="s">
        <v>92</v>
      </c>
      <c r="B34" s="507">
        <f>74*20.9/5.9*9190*0.0000001194</f>
        <v>0.28763771654237286</v>
      </c>
      <c r="C34" s="371" t="s">
        <v>93</v>
      </c>
      <c r="D34" s="383">
        <f>B12</f>
        <v>1120851.48</v>
      </c>
      <c r="E34" s="371" t="s">
        <v>349</v>
      </c>
      <c r="F34" s="382">
        <v>0.13800000000000001</v>
      </c>
      <c r="G34" s="371" t="s">
        <v>95</v>
      </c>
      <c r="H34" s="382">
        <v>1</v>
      </c>
      <c r="I34" s="371" t="s">
        <v>96</v>
      </c>
      <c r="J34" s="194"/>
      <c r="K34" s="199" t="s">
        <v>92</v>
      </c>
      <c r="L34" s="507">
        <f>74*20.9/5.9*9190*0.0000001194</f>
        <v>0.28763771654237286</v>
      </c>
      <c r="M34" s="371" t="s">
        <v>93</v>
      </c>
      <c r="N34" s="383">
        <f>L12</f>
        <v>4327774.92</v>
      </c>
      <c r="O34" s="371" t="s">
        <v>349</v>
      </c>
      <c r="P34" s="382">
        <v>0.13800000000000001</v>
      </c>
      <c r="Q34" s="371" t="s">
        <v>95</v>
      </c>
      <c r="R34" s="382">
        <v>1</v>
      </c>
      <c r="S34" s="371" t="s">
        <v>96</v>
      </c>
      <c r="U34" s="199" t="s">
        <v>92</v>
      </c>
      <c r="V34" s="507">
        <f>74*20.9/5.9*9190*0.0000001194</f>
        <v>0.28763771654237286</v>
      </c>
      <c r="W34" s="371" t="s">
        <v>93</v>
      </c>
      <c r="X34" s="383">
        <f>V12</f>
        <v>3259842.6</v>
      </c>
      <c r="Y34" s="371" t="s">
        <v>349</v>
      </c>
      <c r="Z34" s="382">
        <v>0.13800000000000001</v>
      </c>
      <c r="AA34" s="371" t="s">
        <v>95</v>
      </c>
      <c r="AB34" s="382">
        <v>1</v>
      </c>
      <c r="AC34" s="371" t="s">
        <v>96</v>
      </c>
      <c r="AE34" s="199" t="s">
        <v>92</v>
      </c>
      <c r="AF34" s="507">
        <f>74*20.9/5.9*9190*0.0000001194</f>
        <v>0.28763771654237286</v>
      </c>
      <c r="AG34" s="371" t="s">
        <v>93</v>
      </c>
      <c r="AH34" s="383">
        <f>AF12</f>
        <v>3348002.7</v>
      </c>
      <c r="AI34" s="371" t="s">
        <v>349</v>
      </c>
      <c r="AJ34" s="382">
        <v>0.13800000000000001</v>
      </c>
      <c r="AK34" s="371" t="s">
        <v>95</v>
      </c>
      <c r="AL34" s="382">
        <v>1</v>
      </c>
      <c r="AM34" s="371" t="s">
        <v>96</v>
      </c>
    </row>
    <row r="35" spans="1:39" ht="14.25" customHeight="1" x14ac:dyDescent="0.2">
      <c r="A35" s="84"/>
      <c r="B35" s="482"/>
      <c r="C35" s="386" t="s">
        <v>95</v>
      </c>
      <c r="D35" s="482"/>
      <c r="E35" s="386" t="s">
        <v>65</v>
      </c>
      <c r="F35" s="482"/>
      <c r="G35" s="386" t="s">
        <v>94</v>
      </c>
      <c r="H35" s="209">
        <v>2000</v>
      </c>
      <c r="I35" s="84" t="s">
        <v>93</v>
      </c>
      <c r="J35" s="194"/>
      <c r="K35" s="84"/>
      <c r="L35" s="482"/>
      <c r="M35" s="386" t="s">
        <v>95</v>
      </c>
      <c r="N35" s="482"/>
      <c r="O35" s="386" t="s">
        <v>65</v>
      </c>
      <c r="P35" s="482"/>
      <c r="Q35" s="386" t="s">
        <v>94</v>
      </c>
      <c r="R35" s="209">
        <v>2000</v>
      </c>
      <c r="S35" s="84" t="s">
        <v>93</v>
      </c>
      <c r="U35" s="84"/>
      <c r="V35" s="482"/>
      <c r="W35" s="386" t="s">
        <v>95</v>
      </c>
      <c r="X35" s="482"/>
      <c r="Y35" s="386" t="s">
        <v>65</v>
      </c>
      <c r="Z35" s="482"/>
      <c r="AA35" s="386" t="s">
        <v>94</v>
      </c>
      <c r="AB35" s="209">
        <v>2000</v>
      </c>
      <c r="AC35" s="84" t="s">
        <v>93</v>
      </c>
      <c r="AE35" s="84"/>
      <c r="AF35" s="482"/>
      <c r="AG35" s="386" t="s">
        <v>95</v>
      </c>
      <c r="AH35" s="482"/>
      <c r="AI35" s="386" t="s">
        <v>65</v>
      </c>
      <c r="AJ35" s="482"/>
      <c r="AK35" s="386" t="s">
        <v>94</v>
      </c>
      <c r="AL35" s="209">
        <v>2000</v>
      </c>
      <c r="AM35" s="84" t="s">
        <v>93</v>
      </c>
    </row>
    <row r="36" spans="1:39" ht="14.25" customHeight="1" x14ac:dyDescent="0.2">
      <c r="A36" s="84"/>
      <c r="B36" s="84"/>
      <c r="C36" s="84"/>
      <c r="D36" s="84"/>
      <c r="E36" s="84"/>
      <c r="F36" s="84"/>
      <c r="G36" s="84"/>
      <c r="H36" s="84"/>
      <c r="I36" s="84"/>
      <c r="J36" s="194"/>
      <c r="K36" s="84"/>
      <c r="L36" s="84"/>
      <c r="M36" s="84"/>
      <c r="N36" s="84"/>
      <c r="O36" s="84"/>
      <c r="P36" s="84"/>
      <c r="Q36" s="84"/>
      <c r="R36" s="84"/>
      <c r="S36" s="84"/>
      <c r="U36" s="84"/>
      <c r="V36" s="84"/>
      <c r="W36" s="84"/>
      <c r="X36" s="84"/>
      <c r="Y36" s="84"/>
      <c r="Z36" s="84"/>
      <c r="AA36" s="84"/>
      <c r="AB36" s="84"/>
      <c r="AC36" s="84"/>
      <c r="AE36" s="84"/>
      <c r="AF36" s="84"/>
      <c r="AG36" s="84"/>
      <c r="AH36" s="84"/>
      <c r="AI36" s="84"/>
      <c r="AJ36" s="84"/>
      <c r="AK36" s="84"/>
      <c r="AL36" s="84"/>
      <c r="AM36" s="84"/>
    </row>
    <row r="37" spans="1:39" ht="14.25" customHeight="1" x14ac:dyDescent="0.2">
      <c r="A37" s="199" t="s">
        <v>92</v>
      </c>
      <c r="B37" s="388">
        <f>(B34*D34*F34)/H35</f>
        <v>22.245542060033401</v>
      </c>
      <c r="C37" s="202" t="s">
        <v>96</v>
      </c>
      <c r="D37" s="84"/>
      <c r="E37" s="199" t="s">
        <v>92</v>
      </c>
      <c r="F37" s="388">
        <f>B37*2000/8760</f>
        <v>5.0788908812861644</v>
      </c>
      <c r="G37" s="371" t="s">
        <v>93</v>
      </c>
      <c r="H37" s="84"/>
      <c r="I37" s="84"/>
      <c r="J37" s="194"/>
      <c r="K37" s="199" t="s">
        <v>92</v>
      </c>
      <c r="L37" s="388">
        <f>(L34*N34*P34)/R35</f>
        <v>85.893359403172383</v>
      </c>
      <c r="M37" s="202" t="s">
        <v>96</v>
      </c>
      <c r="N37" s="84"/>
      <c r="O37" s="199" t="s">
        <v>92</v>
      </c>
      <c r="P37" s="388">
        <f>L37*2000/8760</f>
        <v>19.610356028121547</v>
      </c>
      <c r="Q37" s="371" t="s">
        <v>93</v>
      </c>
      <c r="R37" s="84"/>
      <c r="S37" s="84"/>
      <c r="U37" s="199" t="s">
        <v>92</v>
      </c>
      <c r="V37" s="388">
        <f>(V34*X34*Z34)/AB35</f>
        <v>64.698104040857075</v>
      </c>
      <c r="W37" s="202" t="s">
        <v>96</v>
      </c>
      <c r="X37" s="84"/>
      <c r="Y37" s="199" t="s">
        <v>92</v>
      </c>
      <c r="Z37" s="388">
        <f>V37*2000/8760</f>
        <v>14.771256630332665</v>
      </c>
      <c r="AA37" s="371" t="s">
        <v>93</v>
      </c>
      <c r="AB37" s="84"/>
      <c r="AC37" s="84"/>
      <c r="AE37" s="199" t="s">
        <v>92</v>
      </c>
      <c r="AF37" s="388">
        <f>(AF34*AH34*AJ34)/AL35</f>
        <v>66.447817760793242</v>
      </c>
      <c r="AG37" s="202" t="s">
        <v>96</v>
      </c>
      <c r="AH37" s="84"/>
      <c r="AI37" s="199" t="s">
        <v>92</v>
      </c>
      <c r="AJ37" s="388">
        <f>AF37*2000/8760</f>
        <v>15.170734648582933</v>
      </c>
      <c r="AK37" s="371" t="s">
        <v>93</v>
      </c>
      <c r="AL37" s="84"/>
      <c r="AM37" s="84"/>
    </row>
    <row r="38" spans="1:39" ht="14.25" customHeight="1" x14ac:dyDescent="0.2">
      <c r="A38" s="84"/>
      <c r="B38" s="84"/>
      <c r="C38" s="194" t="s">
        <v>65</v>
      </c>
      <c r="D38" s="84"/>
      <c r="E38" s="84"/>
      <c r="F38" s="84"/>
      <c r="G38" s="84" t="s">
        <v>98</v>
      </c>
      <c r="H38" s="84"/>
      <c r="I38" s="84"/>
      <c r="J38" s="194"/>
      <c r="K38" s="84"/>
      <c r="L38" s="84"/>
      <c r="M38" s="194" t="s">
        <v>65</v>
      </c>
      <c r="N38" s="84"/>
      <c r="O38" s="84"/>
      <c r="P38" s="84"/>
      <c r="Q38" s="84" t="s">
        <v>98</v>
      </c>
      <c r="R38" s="84"/>
      <c r="S38" s="84"/>
      <c r="U38" s="84"/>
      <c r="V38" s="84"/>
      <c r="W38" s="194" t="s">
        <v>65</v>
      </c>
      <c r="X38" s="84"/>
      <c r="Y38" s="84"/>
      <c r="Z38" s="84"/>
      <c r="AA38" s="84" t="s">
        <v>98</v>
      </c>
      <c r="AB38" s="84"/>
      <c r="AC38" s="84"/>
      <c r="AE38" s="84"/>
      <c r="AF38" s="84"/>
      <c r="AG38" s="194" t="s">
        <v>65</v>
      </c>
      <c r="AH38" s="84"/>
      <c r="AI38" s="84"/>
      <c r="AJ38" s="84"/>
      <c r="AK38" s="84" t="s">
        <v>98</v>
      </c>
      <c r="AL38" s="84"/>
      <c r="AM38" s="84"/>
    </row>
    <row r="39" spans="1:39" ht="14.25" customHeight="1" x14ac:dyDescent="0.2">
      <c r="A39" s="84"/>
      <c r="B39" s="84"/>
      <c r="C39" s="84"/>
      <c r="D39" s="84"/>
      <c r="E39" s="84"/>
      <c r="F39" s="84"/>
      <c r="G39" s="84"/>
      <c r="H39" s="84"/>
      <c r="I39" s="84"/>
      <c r="J39" s="194"/>
      <c r="K39" s="84"/>
      <c r="L39" s="84"/>
      <c r="M39" s="84"/>
      <c r="N39" s="84"/>
      <c r="O39" s="84"/>
      <c r="P39" s="84"/>
      <c r="Q39" s="84"/>
      <c r="R39" s="84"/>
      <c r="S39" s="84"/>
      <c r="U39" s="84"/>
      <c r="V39" s="84"/>
      <c r="W39" s="84"/>
      <c r="X39" s="84"/>
      <c r="Y39" s="84"/>
      <c r="Z39" s="84"/>
      <c r="AA39" s="84"/>
      <c r="AB39" s="84"/>
      <c r="AC39" s="84"/>
      <c r="AE39" s="84"/>
      <c r="AF39" s="84"/>
      <c r="AG39" s="84"/>
      <c r="AH39" s="84"/>
      <c r="AI39" s="84"/>
      <c r="AJ39" s="84"/>
      <c r="AK39" s="84"/>
      <c r="AL39" s="84"/>
      <c r="AM39" s="84"/>
    </row>
    <row r="40" spans="1:39" ht="14.25" customHeight="1" x14ac:dyDescent="0.2">
      <c r="A40" s="84" t="s">
        <v>101</v>
      </c>
      <c r="B40" s="84"/>
      <c r="C40" s="84"/>
      <c r="D40" s="84"/>
      <c r="E40" s="84"/>
      <c r="F40" s="84"/>
      <c r="G40" s="84"/>
      <c r="H40" s="84"/>
      <c r="I40" s="84"/>
      <c r="J40" s="194"/>
      <c r="K40" s="84" t="s">
        <v>101</v>
      </c>
      <c r="L40" s="84"/>
      <c r="M40" s="84"/>
      <c r="N40" s="84"/>
      <c r="O40" s="84"/>
      <c r="P40" s="84"/>
      <c r="Q40" s="84"/>
      <c r="R40" s="84"/>
      <c r="S40" s="84"/>
      <c r="U40" s="84" t="s">
        <v>101</v>
      </c>
      <c r="V40" s="84"/>
      <c r="W40" s="84"/>
      <c r="X40" s="84"/>
      <c r="Y40" s="84"/>
      <c r="Z40" s="84"/>
      <c r="AA40" s="84"/>
      <c r="AB40" s="84"/>
      <c r="AC40" s="84"/>
      <c r="AE40" s="84" t="s">
        <v>101</v>
      </c>
      <c r="AF40" s="84"/>
      <c r="AG40" s="84"/>
      <c r="AH40" s="84"/>
      <c r="AI40" s="84"/>
      <c r="AJ40" s="84"/>
      <c r="AK40" s="84"/>
      <c r="AL40" s="84"/>
      <c r="AM40" s="84"/>
    </row>
    <row r="41" spans="1:39" ht="14.25" customHeight="1" x14ac:dyDescent="0.2">
      <c r="A41" s="84"/>
      <c r="B41" s="84"/>
      <c r="C41" s="84"/>
      <c r="D41" s="84"/>
      <c r="E41" s="84"/>
      <c r="F41" s="84"/>
      <c r="G41" s="84"/>
      <c r="H41" s="84"/>
      <c r="I41" s="84"/>
      <c r="J41" s="194"/>
      <c r="K41" s="84"/>
      <c r="L41" s="84"/>
      <c r="M41" s="84"/>
      <c r="N41" s="84"/>
      <c r="O41" s="84"/>
      <c r="P41" s="84"/>
      <c r="Q41" s="84"/>
      <c r="R41" s="84"/>
      <c r="S41" s="84"/>
      <c r="U41" s="84"/>
      <c r="V41" s="84"/>
      <c r="W41" s="84"/>
      <c r="X41" s="84"/>
      <c r="Y41" s="84"/>
      <c r="Z41" s="84"/>
      <c r="AA41" s="84"/>
      <c r="AB41" s="84"/>
      <c r="AC41" s="84"/>
      <c r="AE41" s="84"/>
      <c r="AF41" s="84"/>
      <c r="AG41" s="84"/>
      <c r="AH41" s="84"/>
      <c r="AI41" s="84"/>
      <c r="AJ41" s="84"/>
      <c r="AK41" s="84"/>
      <c r="AL41" s="84"/>
      <c r="AM41" s="84"/>
    </row>
    <row r="42" spans="1:39" ht="14.25" customHeight="1" x14ac:dyDescent="0.2">
      <c r="A42" s="199" t="s">
        <v>92</v>
      </c>
      <c r="B42" s="382">
        <v>4.0999999999999999E-4</v>
      </c>
      <c r="C42" s="371" t="s">
        <v>93</v>
      </c>
      <c r="D42" s="383">
        <f>B12</f>
        <v>1120851.48</v>
      </c>
      <c r="E42" s="371" t="s">
        <v>349</v>
      </c>
      <c r="F42" s="382">
        <v>0.13800000000000001</v>
      </c>
      <c r="G42" s="371" t="s">
        <v>95</v>
      </c>
      <c r="H42" s="382">
        <v>1</v>
      </c>
      <c r="I42" s="371" t="s">
        <v>96</v>
      </c>
      <c r="J42" s="194"/>
      <c r="K42" s="199" t="s">
        <v>92</v>
      </c>
      <c r="L42" s="382">
        <v>4.0999999999999999E-4</v>
      </c>
      <c r="M42" s="371" t="s">
        <v>93</v>
      </c>
      <c r="N42" s="383">
        <f>L12</f>
        <v>4327774.92</v>
      </c>
      <c r="O42" s="371" t="s">
        <v>349</v>
      </c>
      <c r="P42" s="382">
        <v>0.13800000000000001</v>
      </c>
      <c r="Q42" s="371" t="s">
        <v>95</v>
      </c>
      <c r="R42" s="382">
        <v>1</v>
      </c>
      <c r="S42" s="371" t="s">
        <v>96</v>
      </c>
      <c r="U42" s="199" t="s">
        <v>92</v>
      </c>
      <c r="V42" s="382">
        <v>4.0999999999999999E-4</v>
      </c>
      <c r="W42" s="371" t="s">
        <v>93</v>
      </c>
      <c r="X42" s="383">
        <f>V12</f>
        <v>3259842.6</v>
      </c>
      <c r="Y42" s="371" t="s">
        <v>349</v>
      </c>
      <c r="Z42" s="382">
        <v>0.13800000000000001</v>
      </c>
      <c r="AA42" s="371" t="s">
        <v>95</v>
      </c>
      <c r="AB42" s="382">
        <v>1</v>
      </c>
      <c r="AC42" s="371" t="s">
        <v>96</v>
      </c>
      <c r="AE42" s="199" t="s">
        <v>92</v>
      </c>
      <c r="AF42" s="382">
        <v>4.0999999999999999E-4</v>
      </c>
      <c r="AG42" s="371" t="s">
        <v>93</v>
      </c>
      <c r="AH42" s="383">
        <f>AF12</f>
        <v>3348002.7</v>
      </c>
      <c r="AI42" s="371" t="s">
        <v>349</v>
      </c>
      <c r="AJ42" s="382">
        <v>0.13800000000000001</v>
      </c>
      <c r="AK42" s="371" t="s">
        <v>95</v>
      </c>
      <c r="AL42" s="382">
        <v>1</v>
      </c>
      <c r="AM42" s="371" t="s">
        <v>96</v>
      </c>
    </row>
    <row r="43" spans="1:39" ht="14.25" customHeight="1" x14ac:dyDescent="0.2">
      <c r="A43" s="84"/>
      <c r="B43" s="482"/>
      <c r="C43" s="386" t="s">
        <v>95</v>
      </c>
      <c r="D43" s="482"/>
      <c r="E43" s="386" t="s">
        <v>65</v>
      </c>
      <c r="F43" s="482"/>
      <c r="G43" s="386" t="s">
        <v>94</v>
      </c>
      <c r="H43" s="209">
        <v>2000</v>
      </c>
      <c r="I43" s="84" t="s">
        <v>93</v>
      </c>
      <c r="J43" s="194"/>
      <c r="K43" s="84"/>
      <c r="L43" s="482"/>
      <c r="M43" s="386" t="s">
        <v>95</v>
      </c>
      <c r="N43" s="482"/>
      <c r="O43" s="386" t="s">
        <v>65</v>
      </c>
      <c r="P43" s="482"/>
      <c r="Q43" s="386" t="s">
        <v>94</v>
      </c>
      <c r="R43" s="209">
        <v>2000</v>
      </c>
      <c r="S43" s="84" t="s">
        <v>93</v>
      </c>
      <c r="U43" s="84"/>
      <c r="V43" s="482"/>
      <c r="W43" s="386" t="s">
        <v>95</v>
      </c>
      <c r="X43" s="482"/>
      <c r="Y43" s="386" t="s">
        <v>65</v>
      </c>
      <c r="Z43" s="482"/>
      <c r="AA43" s="386" t="s">
        <v>94</v>
      </c>
      <c r="AB43" s="209">
        <v>2000</v>
      </c>
      <c r="AC43" s="84" t="s">
        <v>93</v>
      </c>
      <c r="AE43" s="84"/>
      <c r="AF43" s="482"/>
      <c r="AG43" s="386" t="s">
        <v>95</v>
      </c>
      <c r="AH43" s="482"/>
      <c r="AI43" s="386" t="s">
        <v>65</v>
      </c>
      <c r="AJ43" s="482"/>
      <c r="AK43" s="386" t="s">
        <v>94</v>
      </c>
      <c r="AL43" s="209">
        <v>2000</v>
      </c>
      <c r="AM43" s="84" t="s">
        <v>93</v>
      </c>
    </row>
    <row r="44" spans="1:39" ht="14.25" customHeight="1" x14ac:dyDescent="0.2">
      <c r="A44" s="84"/>
      <c r="B44" s="84"/>
      <c r="C44" s="84"/>
      <c r="D44" s="84"/>
      <c r="E44" s="84"/>
      <c r="F44" s="84"/>
      <c r="G44" s="84"/>
      <c r="H44" s="84"/>
      <c r="I44" s="84"/>
      <c r="J44" s="194"/>
      <c r="K44" s="84"/>
      <c r="L44" s="84"/>
      <c r="M44" s="84"/>
      <c r="N44" s="84"/>
      <c r="O44" s="84"/>
      <c r="P44" s="84"/>
      <c r="Q44" s="84"/>
      <c r="R44" s="84"/>
      <c r="S44" s="84"/>
      <c r="U44" s="84"/>
      <c r="V44" s="84"/>
      <c r="W44" s="84"/>
      <c r="X44" s="84"/>
      <c r="Y44" s="84"/>
      <c r="Z44" s="84"/>
      <c r="AA44" s="84"/>
      <c r="AB44" s="84"/>
      <c r="AC44" s="84"/>
      <c r="AE44" s="84"/>
      <c r="AF44" s="84"/>
      <c r="AG44" s="84"/>
      <c r="AH44" s="84"/>
      <c r="AI44" s="84"/>
      <c r="AJ44" s="84"/>
      <c r="AK44" s="84"/>
      <c r="AL44" s="84"/>
      <c r="AM44" s="84"/>
    </row>
    <row r="45" spans="1:39" ht="14.25" customHeight="1" x14ac:dyDescent="0.2">
      <c r="A45" s="199" t="s">
        <v>92</v>
      </c>
      <c r="B45" s="388">
        <f>(B42*D42*F42)/H43</f>
        <v>3.1708888369200001E-2</v>
      </c>
      <c r="C45" s="202" t="s">
        <v>96</v>
      </c>
      <c r="D45" s="84"/>
      <c r="E45" s="199" t="s">
        <v>92</v>
      </c>
      <c r="F45" s="392">
        <f>B45*2000/8760</f>
        <v>7.2394722304109588E-3</v>
      </c>
      <c r="G45" s="371" t="s">
        <v>93</v>
      </c>
      <c r="H45" s="84"/>
      <c r="I45" s="84"/>
      <c r="J45" s="194"/>
      <c r="K45" s="199" t="s">
        <v>92</v>
      </c>
      <c r="L45" s="388">
        <f>(L42*N42*P42)/R43</f>
        <v>0.12243275248680001</v>
      </c>
      <c r="M45" s="202" t="s">
        <v>96</v>
      </c>
      <c r="N45" s="84"/>
      <c r="O45" s="199" t="s">
        <v>92</v>
      </c>
      <c r="P45" s="392">
        <f>L45*2000/8760</f>
        <v>2.7952683216164387E-2</v>
      </c>
      <c r="Q45" s="371" t="s">
        <v>93</v>
      </c>
      <c r="R45" s="84"/>
      <c r="S45" s="84"/>
      <c r="U45" s="199" t="s">
        <v>92</v>
      </c>
      <c r="V45" s="388">
        <f>(V42*X42*Z42)/AB43</f>
        <v>9.2220947154000019E-2</v>
      </c>
      <c r="W45" s="202" t="s">
        <v>96</v>
      </c>
      <c r="X45" s="84"/>
      <c r="Y45" s="199" t="s">
        <v>92</v>
      </c>
      <c r="Z45" s="392">
        <f>V45*2000/8760</f>
        <v>2.1055010765753428E-2</v>
      </c>
      <c r="AA45" s="371" t="s">
        <v>93</v>
      </c>
      <c r="AB45" s="84"/>
      <c r="AC45" s="84"/>
      <c r="AE45" s="199" t="s">
        <v>92</v>
      </c>
      <c r="AF45" s="388">
        <f>(AF42*AH42*AJ42)/AL43</f>
        <v>9.4714996383000016E-2</v>
      </c>
      <c r="AG45" s="202" t="s">
        <v>96</v>
      </c>
      <c r="AH45" s="84"/>
      <c r="AI45" s="199" t="s">
        <v>92</v>
      </c>
      <c r="AJ45" s="392">
        <f>AF45*2000/8760</f>
        <v>2.1624428397945209E-2</v>
      </c>
      <c r="AK45" s="371" t="s">
        <v>93</v>
      </c>
      <c r="AL45" s="84"/>
      <c r="AM45" s="84"/>
    </row>
    <row r="46" spans="1:39" ht="14.25" customHeight="1" x14ac:dyDescent="0.2">
      <c r="A46" s="84"/>
      <c r="B46" s="84"/>
      <c r="C46" s="194" t="s">
        <v>65</v>
      </c>
      <c r="D46" s="84"/>
      <c r="E46" s="84"/>
      <c r="F46" s="84"/>
      <c r="G46" s="84" t="s">
        <v>98</v>
      </c>
      <c r="H46" s="84"/>
      <c r="I46" s="84"/>
      <c r="J46" s="194"/>
      <c r="K46" s="84"/>
      <c r="L46" s="84"/>
      <c r="M46" s="194" t="s">
        <v>65</v>
      </c>
      <c r="N46" s="84"/>
      <c r="O46" s="84"/>
      <c r="P46" s="84"/>
      <c r="Q46" s="84" t="s">
        <v>98</v>
      </c>
      <c r="R46" s="84"/>
      <c r="S46" s="84"/>
      <c r="U46" s="84"/>
      <c r="V46" s="84"/>
      <c r="W46" s="194" t="s">
        <v>65</v>
      </c>
      <c r="X46" s="84"/>
      <c r="Y46" s="84"/>
      <c r="Z46" s="84"/>
      <c r="AA46" s="84" t="s">
        <v>98</v>
      </c>
      <c r="AB46" s="84"/>
      <c r="AC46" s="84"/>
      <c r="AE46" s="84"/>
      <c r="AF46" s="84"/>
      <c r="AG46" s="194" t="s">
        <v>65</v>
      </c>
      <c r="AH46" s="84"/>
      <c r="AI46" s="84"/>
      <c r="AJ46" s="84"/>
      <c r="AK46" s="84" t="s">
        <v>98</v>
      </c>
      <c r="AL46" s="84"/>
      <c r="AM46" s="84"/>
    </row>
    <row r="47" spans="1:39" ht="14.25" customHeight="1" x14ac:dyDescent="0.2">
      <c r="A47" s="84"/>
      <c r="B47" s="84"/>
      <c r="C47" s="194"/>
      <c r="D47" s="84"/>
      <c r="E47" s="84"/>
      <c r="F47" s="84"/>
      <c r="G47" s="84"/>
      <c r="H47" s="84"/>
      <c r="I47" s="84"/>
      <c r="J47" s="194"/>
      <c r="K47" s="84"/>
      <c r="L47" s="84"/>
      <c r="M47" s="194"/>
      <c r="N47" s="84"/>
      <c r="O47" s="84"/>
      <c r="P47" s="84"/>
      <c r="Q47" s="84"/>
      <c r="R47" s="84"/>
      <c r="S47" s="84"/>
      <c r="U47" s="84"/>
      <c r="V47" s="84"/>
      <c r="W47" s="194"/>
      <c r="X47" s="84"/>
      <c r="Y47" s="84"/>
      <c r="Z47" s="84"/>
      <c r="AA47" s="84"/>
      <c r="AB47" s="84"/>
      <c r="AC47" s="84"/>
      <c r="AE47" s="84"/>
      <c r="AF47" s="84"/>
      <c r="AG47" s="194"/>
      <c r="AH47" s="84"/>
      <c r="AI47" s="84"/>
      <c r="AJ47" s="84"/>
      <c r="AK47" s="84"/>
      <c r="AL47" s="84"/>
      <c r="AM47" s="84"/>
    </row>
    <row r="48" spans="1:39" ht="14.25" customHeight="1" x14ac:dyDescent="0.2">
      <c r="A48" s="84"/>
      <c r="B48" s="84"/>
      <c r="C48" s="194"/>
      <c r="D48" s="84"/>
      <c r="E48" s="84"/>
      <c r="F48" s="84"/>
      <c r="G48" s="84"/>
      <c r="H48" s="84"/>
      <c r="I48" s="84"/>
      <c r="J48" s="194"/>
      <c r="K48" s="84"/>
      <c r="L48" s="84"/>
      <c r="M48" s="194"/>
      <c r="N48" s="84"/>
      <c r="O48" s="84"/>
      <c r="P48" s="84"/>
      <c r="Q48" s="84"/>
      <c r="R48" s="84"/>
      <c r="S48" s="84"/>
      <c r="U48" s="84"/>
      <c r="V48" s="84"/>
      <c r="W48" s="194"/>
      <c r="X48" s="84"/>
      <c r="Y48" s="84"/>
      <c r="Z48" s="84"/>
      <c r="AA48" s="84"/>
      <c r="AB48" s="84"/>
      <c r="AC48" s="84"/>
      <c r="AE48" s="84"/>
      <c r="AF48" s="84"/>
      <c r="AG48" s="194"/>
      <c r="AH48" s="84"/>
      <c r="AI48" s="84"/>
      <c r="AJ48" s="84"/>
      <c r="AK48" s="84"/>
      <c r="AL48" s="84"/>
      <c r="AM48" s="84"/>
    </row>
    <row r="49" spans="1:39" ht="14.25" customHeight="1" x14ac:dyDescent="0.2">
      <c r="A49" s="84"/>
      <c r="B49" s="84"/>
      <c r="C49" s="194"/>
      <c r="D49" s="84"/>
      <c r="E49" s="84"/>
      <c r="F49" s="84"/>
      <c r="G49" s="84"/>
      <c r="H49" s="84"/>
      <c r="I49" s="84"/>
      <c r="J49" s="194"/>
      <c r="K49" s="84"/>
      <c r="L49" s="84"/>
      <c r="M49" s="194"/>
      <c r="N49" s="84"/>
      <c r="O49" s="84"/>
      <c r="P49" s="84"/>
      <c r="Q49" s="84"/>
      <c r="R49" s="84"/>
      <c r="S49" s="84"/>
      <c r="U49" s="84"/>
      <c r="V49" s="84"/>
      <c r="W49" s="194"/>
      <c r="X49" s="84"/>
      <c r="Y49" s="84"/>
      <c r="Z49" s="84"/>
      <c r="AA49" s="84"/>
      <c r="AB49" s="84"/>
      <c r="AC49" s="84"/>
      <c r="AE49" s="84"/>
      <c r="AF49" s="84"/>
      <c r="AG49" s="194"/>
      <c r="AH49" s="84"/>
      <c r="AI49" s="84"/>
      <c r="AJ49" s="84"/>
      <c r="AK49" s="84"/>
      <c r="AL49" s="84"/>
      <c r="AM49" s="84"/>
    </row>
    <row r="50" spans="1:39" ht="14.25" customHeight="1" x14ac:dyDescent="0.2">
      <c r="A50" s="84"/>
      <c r="B50" s="84"/>
      <c r="C50" s="194"/>
      <c r="D50" s="84"/>
      <c r="E50" s="84"/>
      <c r="F50" s="84"/>
      <c r="G50" s="84"/>
      <c r="H50" s="84"/>
      <c r="I50" s="84"/>
      <c r="J50" s="194"/>
      <c r="K50" s="84"/>
      <c r="L50" s="84"/>
      <c r="M50" s="194"/>
      <c r="N50" s="84"/>
      <c r="O50" s="84"/>
      <c r="P50" s="84"/>
      <c r="Q50" s="84"/>
      <c r="R50" s="84"/>
      <c r="S50" s="84"/>
      <c r="U50" s="84"/>
      <c r="V50" s="84"/>
      <c r="W50" s="194"/>
      <c r="X50" s="84"/>
      <c r="Y50" s="84"/>
      <c r="Z50" s="84"/>
      <c r="AA50" s="84"/>
      <c r="AB50" s="84"/>
      <c r="AC50" s="84"/>
      <c r="AE50" s="571" t="s">
        <v>371</v>
      </c>
      <c r="AF50" s="571"/>
      <c r="AG50" s="571"/>
      <c r="AH50" s="571"/>
      <c r="AI50" s="571"/>
      <c r="AJ50" s="571"/>
      <c r="AK50" s="571"/>
      <c r="AL50" s="571"/>
      <c r="AM50" s="571"/>
    </row>
    <row r="51" spans="1:39" ht="14.25" customHeight="1" x14ac:dyDescent="0.2">
      <c r="A51" s="571" t="s">
        <v>363</v>
      </c>
      <c r="B51" s="571"/>
      <c r="C51" s="571"/>
      <c r="D51" s="571"/>
      <c r="E51" s="571"/>
      <c r="F51" s="571"/>
      <c r="G51" s="571"/>
      <c r="H51" s="571"/>
      <c r="I51" s="571"/>
      <c r="J51" s="79"/>
      <c r="K51" s="571" t="s">
        <v>372</v>
      </c>
      <c r="L51" s="571"/>
      <c r="M51" s="571"/>
      <c r="N51" s="571"/>
      <c r="O51" s="571"/>
      <c r="P51" s="571"/>
      <c r="Q51" s="571"/>
      <c r="R51" s="571"/>
      <c r="S51" s="571"/>
      <c r="U51" s="571" t="s">
        <v>373</v>
      </c>
      <c r="V51" s="571"/>
      <c r="W51" s="571"/>
      <c r="X51" s="571"/>
      <c r="Y51" s="571"/>
      <c r="Z51" s="571"/>
      <c r="AA51" s="571"/>
      <c r="AB51" s="571"/>
      <c r="AC51" s="571"/>
    </row>
    <row r="52" spans="1:39" ht="14.25" customHeight="1" x14ac:dyDescent="0.2">
      <c r="A52" s="84"/>
      <c r="B52" s="84"/>
      <c r="C52" s="84"/>
      <c r="D52" s="84"/>
      <c r="E52" s="84"/>
      <c r="F52" s="84"/>
      <c r="G52" s="84"/>
      <c r="H52" s="84"/>
      <c r="I52" s="84"/>
      <c r="J52" s="194"/>
      <c r="K52" s="84"/>
      <c r="L52" s="84"/>
      <c r="M52" s="84"/>
      <c r="N52" s="84"/>
      <c r="O52" s="84"/>
      <c r="P52" s="84"/>
      <c r="Q52" s="84"/>
      <c r="R52" s="84"/>
      <c r="S52" s="84"/>
      <c r="U52" s="84"/>
      <c r="V52" s="84"/>
      <c r="W52" s="84"/>
      <c r="X52" s="84"/>
      <c r="Y52" s="84"/>
      <c r="Z52" s="84"/>
      <c r="AA52" s="84"/>
      <c r="AB52" s="84"/>
      <c r="AC52" s="84"/>
      <c r="AE52" s="84"/>
      <c r="AF52" s="84"/>
      <c r="AG52" s="84"/>
      <c r="AH52" s="84"/>
      <c r="AI52" s="84"/>
      <c r="AJ52" s="84"/>
      <c r="AK52" s="84"/>
      <c r="AL52" s="84"/>
      <c r="AM52" s="84"/>
    </row>
    <row r="53" spans="1:39" ht="14.25" customHeight="1" x14ac:dyDescent="0.2">
      <c r="A53" s="84" t="s">
        <v>102</v>
      </c>
      <c r="B53" s="84"/>
      <c r="C53" s="84"/>
      <c r="D53" s="84"/>
      <c r="E53" s="84"/>
      <c r="F53" s="84"/>
      <c r="G53" s="84"/>
      <c r="H53" s="84"/>
      <c r="I53" s="84"/>
      <c r="J53" s="194"/>
      <c r="K53" s="84" t="s">
        <v>102</v>
      </c>
      <c r="L53" s="84"/>
      <c r="M53" s="84"/>
      <c r="N53" s="84"/>
      <c r="O53" s="84"/>
      <c r="P53" s="84"/>
      <c r="Q53" s="84"/>
      <c r="R53" s="84"/>
      <c r="S53" s="84"/>
      <c r="U53" s="84" t="s">
        <v>102</v>
      </c>
      <c r="V53" s="84"/>
      <c r="W53" s="84"/>
      <c r="X53" s="84"/>
      <c r="Y53" s="84"/>
      <c r="Z53" s="84"/>
      <c r="AA53" s="84"/>
      <c r="AB53" s="84"/>
      <c r="AC53" s="84"/>
      <c r="AE53" s="84" t="s">
        <v>102</v>
      </c>
      <c r="AF53" s="84"/>
      <c r="AG53" s="84"/>
      <c r="AH53" s="84"/>
      <c r="AI53" s="84"/>
      <c r="AJ53" s="84"/>
      <c r="AK53" s="84"/>
      <c r="AL53" s="84"/>
      <c r="AM53" s="84"/>
    </row>
    <row r="54" spans="1:39" ht="14.25" customHeight="1" x14ac:dyDescent="0.2">
      <c r="A54" s="84"/>
      <c r="B54" s="84"/>
      <c r="C54" s="84"/>
      <c r="D54" s="84"/>
      <c r="E54" s="84"/>
      <c r="F54" s="84"/>
      <c r="G54" s="84"/>
      <c r="H54" s="84"/>
      <c r="I54" s="84"/>
      <c r="J54" s="194"/>
      <c r="K54" s="84"/>
      <c r="L54" s="84"/>
      <c r="M54" s="84"/>
      <c r="N54" s="84"/>
      <c r="O54" s="84"/>
      <c r="P54" s="84"/>
      <c r="Q54" s="84"/>
      <c r="R54" s="84"/>
      <c r="S54" s="84"/>
      <c r="U54" s="84"/>
      <c r="V54" s="84"/>
      <c r="W54" s="84"/>
      <c r="X54" s="84"/>
      <c r="Y54" s="84"/>
      <c r="Z54" s="84"/>
      <c r="AA54" s="84"/>
      <c r="AB54" s="84"/>
      <c r="AC54" s="84"/>
      <c r="AE54" s="84"/>
      <c r="AF54" s="84"/>
      <c r="AG54" s="84"/>
      <c r="AH54" s="84"/>
      <c r="AI54" s="84"/>
      <c r="AJ54" s="84"/>
      <c r="AK54" s="84"/>
      <c r="AL54" s="84"/>
      <c r="AM54" s="84"/>
    </row>
    <row r="55" spans="1:39" ht="14.25" customHeight="1" x14ac:dyDescent="0.2">
      <c r="A55" s="199" t="s">
        <v>92</v>
      </c>
      <c r="B55" s="382">
        <v>3.3E-3</v>
      </c>
      <c r="C55" s="371" t="s">
        <v>93</v>
      </c>
      <c r="D55" s="383">
        <f>B12</f>
        <v>1120851.48</v>
      </c>
      <c r="E55" s="371" t="s">
        <v>349</v>
      </c>
      <c r="F55" s="382">
        <v>0.13800000000000001</v>
      </c>
      <c r="G55" s="371" t="s">
        <v>95</v>
      </c>
      <c r="H55" s="382">
        <v>1</v>
      </c>
      <c r="I55" s="371" t="s">
        <v>96</v>
      </c>
      <c r="J55" s="194"/>
      <c r="K55" s="199" t="s">
        <v>92</v>
      </c>
      <c r="L55" s="382">
        <v>3.3E-3</v>
      </c>
      <c r="M55" s="371" t="s">
        <v>93</v>
      </c>
      <c r="N55" s="383">
        <f>L12</f>
        <v>4327774.92</v>
      </c>
      <c r="O55" s="371" t="s">
        <v>349</v>
      </c>
      <c r="P55" s="382">
        <v>0.13800000000000001</v>
      </c>
      <c r="Q55" s="371" t="s">
        <v>95</v>
      </c>
      <c r="R55" s="382">
        <v>1</v>
      </c>
      <c r="S55" s="371" t="s">
        <v>96</v>
      </c>
      <c r="U55" s="199" t="s">
        <v>92</v>
      </c>
      <c r="V55" s="382">
        <v>3.3E-3</v>
      </c>
      <c r="W55" s="371" t="s">
        <v>93</v>
      </c>
      <c r="X55" s="383">
        <f>V12</f>
        <v>3259842.6</v>
      </c>
      <c r="Y55" s="371" t="s">
        <v>349</v>
      </c>
      <c r="Z55" s="382">
        <v>0.13800000000000001</v>
      </c>
      <c r="AA55" s="371" t="s">
        <v>95</v>
      </c>
      <c r="AB55" s="382">
        <v>1</v>
      </c>
      <c r="AC55" s="371" t="s">
        <v>96</v>
      </c>
      <c r="AE55" s="199" t="s">
        <v>92</v>
      </c>
      <c r="AF55" s="382">
        <v>3.3E-3</v>
      </c>
      <c r="AG55" s="371" t="s">
        <v>93</v>
      </c>
      <c r="AH55" s="383">
        <f>AF12</f>
        <v>3348002.7</v>
      </c>
      <c r="AI55" s="371" t="s">
        <v>349</v>
      </c>
      <c r="AJ55" s="382">
        <v>0.13800000000000001</v>
      </c>
      <c r="AK55" s="371" t="s">
        <v>95</v>
      </c>
      <c r="AL55" s="382">
        <v>1</v>
      </c>
      <c r="AM55" s="371" t="s">
        <v>96</v>
      </c>
    </row>
    <row r="56" spans="1:39" ht="14.25" customHeight="1" x14ac:dyDescent="0.2">
      <c r="A56" s="84"/>
      <c r="B56" s="482"/>
      <c r="C56" s="386" t="s">
        <v>95</v>
      </c>
      <c r="D56" s="482"/>
      <c r="E56" s="386" t="s">
        <v>65</v>
      </c>
      <c r="F56" s="482"/>
      <c r="G56" s="386" t="s">
        <v>94</v>
      </c>
      <c r="H56" s="209">
        <v>2000</v>
      </c>
      <c r="I56" s="84" t="s">
        <v>93</v>
      </c>
      <c r="J56" s="194"/>
      <c r="K56" s="84"/>
      <c r="L56" s="482"/>
      <c r="M56" s="386" t="s">
        <v>95</v>
      </c>
      <c r="N56" s="482"/>
      <c r="O56" s="386" t="s">
        <v>65</v>
      </c>
      <c r="P56" s="482"/>
      <c r="Q56" s="386" t="s">
        <v>94</v>
      </c>
      <c r="R56" s="209">
        <v>2000</v>
      </c>
      <c r="S56" s="84" t="s">
        <v>93</v>
      </c>
      <c r="U56" s="84"/>
      <c r="V56" s="482"/>
      <c r="W56" s="386" t="s">
        <v>95</v>
      </c>
      <c r="X56" s="482"/>
      <c r="Y56" s="386" t="s">
        <v>65</v>
      </c>
      <c r="Z56" s="482"/>
      <c r="AA56" s="386" t="s">
        <v>94</v>
      </c>
      <c r="AB56" s="209">
        <v>2000</v>
      </c>
      <c r="AC56" s="84" t="s">
        <v>93</v>
      </c>
      <c r="AE56" s="84"/>
      <c r="AF56" s="482"/>
      <c r="AG56" s="386" t="s">
        <v>95</v>
      </c>
      <c r="AH56" s="482"/>
      <c r="AI56" s="386" t="s">
        <v>65</v>
      </c>
      <c r="AJ56" s="482"/>
      <c r="AK56" s="386" t="s">
        <v>94</v>
      </c>
      <c r="AL56" s="209">
        <v>2000</v>
      </c>
      <c r="AM56" s="84" t="s">
        <v>93</v>
      </c>
    </row>
    <row r="57" spans="1:39" ht="14.25" customHeight="1" x14ac:dyDescent="0.2">
      <c r="A57" s="84"/>
      <c r="B57" s="84"/>
      <c r="C57" s="84"/>
      <c r="D57" s="84"/>
      <c r="E57" s="84"/>
      <c r="F57" s="84"/>
      <c r="G57" s="84"/>
      <c r="H57" s="84"/>
      <c r="I57" s="84"/>
      <c r="J57" s="194"/>
      <c r="K57" s="84"/>
      <c r="L57" s="84"/>
      <c r="M57" s="84"/>
      <c r="N57" s="84"/>
      <c r="O57" s="84"/>
      <c r="P57" s="84"/>
      <c r="Q57" s="84"/>
      <c r="R57" s="84"/>
      <c r="S57" s="84"/>
      <c r="U57" s="84"/>
      <c r="V57" s="84"/>
      <c r="W57" s="84"/>
      <c r="X57" s="84"/>
      <c r="Y57" s="84"/>
      <c r="Z57" s="84"/>
      <c r="AA57" s="84"/>
      <c r="AB57" s="84"/>
      <c r="AC57" s="84"/>
      <c r="AE57" s="84"/>
      <c r="AF57" s="84"/>
      <c r="AG57" s="84"/>
      <c r="AH57" s="84"/>
      <c r="AI57" s="84"/>
      <c r="AJ57" s="84"/>
      <c r="AK57" s="84"/>
      <c r="AL57" s="84"/>
      <c r="AM57" s="84"/>
    </row>
    <row r="58" spans="1:39" ht="14.25" customHeight="1" x14ac:dyDescent="0.2">
      <c r="A58" s="199" t="s">
        <v>92</v>
      </c>
      <c r="B58" s="388">
        <f>(B55*D55*F55)/H56</f>
        <v>0.25521788199600004</v>
      </c>
      <c r="C58" s="202" t="s">
        <v>96</v>
      </c>
      <c r="D58" s="84"/>
      <c r="E58" s="199" t="s">
        <v>92</v>
      </c>
      <c r="F58" s="392">
        <f>B58*2000/8760</f>
        <v>5.8268922830136995E-2</v>
      </c>
      <c r="G58" s="371" t="s">
        <v>93</v>
      </c>
      <c r="H58" s="84"/>
      <c r="I58" s="84"/>
      <c r="J58" s="194"/>
      <c r="K58" s="199" t="s">
        <v>92</v>
      </c>
      <c r="L58" s="388">
        <f>(L55*N55*P55)/R56</f>
        <v>0.98543434928400009</v>
      </c>
      <c r="M58" s="202" t="s">
        <v>96</v>
      </c>
      <c r="N58" s="84"/>
      <c r="O58" s="199" t="s">
        <v>92</v>
      </c>
      <c r="P58" s="392">
        <f>L58*2000/8760</f>
        <v>0.22498501125205481</v>
      </c>
      <c r="Q58" s="371" t="s">
        <v>93</v>
      </c>
      <c r="R58" s="84"/>
      <c r="S58" s="84"/>
      <c r="U58" s="199" t="s">
        <v>92</v>
      </c>
      <c r="V58" s="388">
        <f>(V55*X55*Z55)/AB56</f>
        <v>0.74226616002000001</v>
      </c>
      <c r="W58" s="202" t="s">
        <v>96</v>
      </c>
      <c r="X58" s="84"/>
      <c r="Y58" s="199" t="s">
        <v>92</v>
      </c>
      <c r="Z58" s="392">
        <f>V58*2000/8760</f>
        <v>0.16946715982191782</v>
      </c>
      <c r="AA58" s="371" t="s">
        <v>93</v>
      </c>
      <c r="AB58" s="84"/>
      <c r="AC58" s="84"/>
      <c r="AE58" s="199" t="s">
        <v>92</v>
      </c>
      <c r="AF58" s="388">
        <f>(AF55*AH55*AJ55)/AL56</f>
        <v>0.76234021479000014</v>
      </c>
      <c r="AG58" s="202" t="s">
        <v>96</v>
      </c>
      <c r="AH58" s="84"/>
      <c r="AI58" s="199" t="s">
        <v>92</v>
      </c>
      <c r="AJ58" s="392">
        <f>AF58*2000/8760</f>
        <v>0.17405027734931511</v>
      </c>
      <c r="AK58" s="371" t="s">
        <v>93</v>
      </c>
      <c r="AL58" s="84"/>
      <c r="AM58" s="84"/>
    </row>
    <row r="59" spans="1:39" ht="14.25" customHeight="1" x14ac:dyDescent="0.2">
      <c r="A59" s="84"/>
      <c r="B59" s="84"/>
      <c r="C59" s="194" t="s">
        <v>65</v>
      </c>
      <c r="D59" s="84"/>
      <c r="E59" s="84"/>
      <c r="F59" s="84"/>
      <c r="G59" s="84" t="s">
        <v>98</v>
      </c>
      <c r="H59" s="84"/>
      <c r="I59" s="84"/>
      <c r="J59" s="194"/>
      <c r="K59" s="84"/>
      <c r="L59" s="84"/>
      <c r="M59" s="194" t="s">
        <v>65</v>
      </c>
      <c r="N59" s="84"/>
      <c r="O59" s="84"/>
      <c r="P59" s="84"/>
      <c r="Q59" s="84" t="s">
        <v>98</v>
      </c>
      <c r="R59" s="84"/>
      <c r="S59" s="84"/>
      <c r="U59" s="84"/>
      <c r="V59" s="84"/>
      <c r="W59" s="194" t="s">
        <v>65</v>
      </c>
      <c r="X59" s="84"/>
      <c r="Y59" s="84"/>
      <c r="Z59" s="84"/>
      <c r="AA59" s="84" t="s">
        <v>98</v>
      </c>
      <c r="AB59" s="84"/>
      <c r="AC59" s="84"/>
      <c r="AE59" s="84"/>
      <c r="AF59" s="84"/>
      <c r="AG59" s="194" t="s">
        <v>65</v>
      </c>
      <c r="AH59" s="84"/>
      <c r="AI59" s="84"/>
      <c r="AJ59" s="84"/>
      <c r="AK59" s="84" t="s">
        <v>98</v>
      </c>
      <c r="AL59" s="84"/>
      <c r="AM59" s="84"/>
    </row>
    <row r="60" spans="1:39" ht="14.25" customHeight="1" x14ac:dyDescent="0.2">
      <c r="A60" s="84"/>
      <c r="B60" s="84"/>
      <c r="C60" s="84"/>
      <c r="D60" s="84"/>
      <c r="E60" s="84"/>
      <c r="F60" s="84"/>
      <c r="G60" s="84"/>
      <c r="H60" s="84"/>
      <c r="I60" s="84"/>
      <c r="J60" s="194"/>
      <c r="K60" s="84"/>
      <c r="L60" s="84"/>
      <c r="M60" s="84"/>
      <c r="N60" s="84"/>
      <c r="O60" s="84"/>
      <c r="P60" s="84"/>
      <c r="Q60" s="84"/>
      <c r="R60" s="84"/>
      <c r="S60" s="84"/>
      <c r="U60" s="84"/>
      <c r="V60" s="84"/>
      <c r="W60" s="84"/>
      <c r="X60" s="84"/>
      <c r="Y60" s="84"/>
      <c r="Z60" s="84"/>
      <c r="AA60" s="84"/>
      <c r="AB60" s="84"/>
      <c r="AC60" s="84"/>
      <c r="AE60" s="84"/>
      <c r="AF60" s="84"/>
      <c r="AG60" s="84"/>
      <c r="AH60" s="84"/>
      <c r="AI60" s="84"/>
      <c r="AJ60" s="84"/>
      <c r="AK60" s="84"/>
      <c r="AL60" s="84"/>
      <c r="AM60" s="84"/>
    </row>
    <row r="61" spans="1:39" ht="14.25" customHeight="1" x14ac:dyDescent="0.2">
      <c r="A61" s="84" t="s">
        <v>103</v>
      </c>
      <c r="B61" s="84"/>
      <c r="C61" s="84"/>
      <c r="D61" s="84"/>
      <c r="E61" s="84"/>
      <c r="F61" s="84"/>
      <c r="G61" s="84"/>
      <c r="H61" s="84"/>
      <c r="I61" s="84"/>
      <c r="J61" s="194"/>
      <c r="K61" s="84" t="s">
        <v>103</v>
      </c>
      <c r="L61" s="84"/>
      <c r="M61" s="84"/>
      <c r="N61" s="84"/>
      <c r="O61" s="84"/>
      <c r="P61" s="84"/>
      <c r="Q61" s="84"/>
      <c r="R61" s="84"/>
      <c r="S61" s="84"/>
      <c r="U61" s="84" t="s">
        <v>103</v>
      </c>
      <c r="V61" s="84"/>
      <c r="W61" s="84"/>
      <c r="X61" s="84"/>
      <c r="Y61" s="84"/>
      <c r="Z61" s="84"/>
      <c r="AA61" s="84"/>
      <c r="AB61" s="84"/>
      <c r="AC61" s="84"/>
      <c r="AE61" s="84" t="s">
        <v>103</v>
      </c>
      <c r="AF61" s="84"/>
      <c r="AG61" s="84"/>
      <c r="AH61" s="84"/>
      <c r="AI61" s="84"/>
      <c r="AJ61" s="84"/>
      <c r="AK61" s="84"/>
      <c r="AL61" s="84"/>
      <c r="AM61" s="84"/>
    </row>
    <row r="62" spans="1:39" ht="14.25" customHeight="1" x14ac:dyDescent="0.2">
      <c r="A62" s="84"/>
      <c r="B62" s="84"/>
      <c r="C62" s="84"/>
      <c r="D62" s="84"/>
      <c r="E62" s="84"/>
      <c r="F62" s="84"/>
      <c r="G62" s="84"/>
      <c r="H62" s="84"/>
      <c r="I62" s="84"/>
      <c r="J62" s="194"/>
      <c r="K62" s="84"/>
      <c r="L62" s="84"/>
      <c r="M62" s="84"/>
      <c r="N62" s="84"/>
      <c r="O62" s="84"/>
      <c r="P62" s="84"/>
      <c r="Q62" s="84"/>
      <c r="R62" s="84"/>
      <c r="S62" s="84"/>
      <c r="U62" s="84"/>
      <c r="V62" s="84"/>
      <c r="W62" s="84"/>
      <c r="X62" s="84"/>
      <c r="Y62" s="84"/>
      <c r="Z62" s="84"/>
      <c r="AA62" s="84"/>
      <c r="AB62" s="84"/>
      <c r="AC62" s="84"/>
      <c r="AE62" s="84"/>
      <c r="AF62" s="84"/>
      <c r="AG62" s="84"/>
      <c r="AH62" s="84"/>
      <c r="AI62" s="84"/>
      <c r="AJ62" s="84"/>
      <c r="AK62" s="84"/>
      <c r="AL62" s="84"/>
      <c r="AM62" s="84"/>
    </row>
    <row r="63" spans="1:39" ht="14.25" customHeight="1" x14ac:dyDescent="0.2">
      <c r="A63" s="199" t="s">
        <v>92</v>
      </c>
      <c r="B63" s="382">
        <v>1.4E-5</v>
      </c>
      <c r="C63" s="371" t="s">
        <v>93</v>
      </c>
      <c r="D63" s="383">
        <f>B12</f>
        <v>1120851.48</v>
      </c>
      <c r="E63" s="371" t="s">
        <v>349</v>
      </c>
      <c r="F63" s="382">
        <v>0.13800000000000001</v>
      </c>
      <c r="G63" s="371" t="s">
        <v>95</v>
      </c>
      <c r="H63" s="382">
        <v>1</v>
      </c>
      <c r="I63" s="371" t="s">
        <v>96</v>
      </c>
      <c r="J63" s="194"/>
      <c r="K63" s="199" t="s">
        <v>92</v>
      </c>
      <c r="L63" s="382">
        <v>1.4E-5</v>
      </c>
      <c r="M63" s="371" t="s">
        <v>93</v>
      </c>
      <c r="N63" s="383">
        <f>L12</f>
        <v>4327774.92</v>
      </c>
      <c r="O63" s="371" t="s">
        <v>349</v>
      </c>
      <c r="P63" s="382">
        <v>0.13800000000000001</v>
      </c>
      <c r="Q63" s="371" t="s">
        <v>95</v>
      </c>
      <c r="R63" s="382">
        <v>1</v>
      </c>
      <c r="S63" s="371" t="s">
        <v>96</v>
      </c>
      <c r="U63" s="199" t="s">
        <v>92</v>
      </c>
      <c r="V63" s="382">
        <v>1.4E-5</v>
      </c>
      <c r="W63" s="371" t="s">
        <v>93</v>
      </c>
      <c r="X63" s="383">
        <f>V12</f>
        <v>3259842.6</v>
      </c>
      <c r="Y63" s="371" t="s">
        <v>349</v>
      </c>
      <c r="Z63" s="382">
        <v>0.13800000000000001</v>
      </c>
      <c r="AA63" s="371" t="s">
        <v>95</v>
      </c>
      <c r="AB63" s="382">
        <v>1</v>
      </c>
      <c r="AC63" s="371" t="s">
        <v>96</v>
      </c>
      <c r="AE63" s="199" t="s">
        <v>92</v>
      </c>
      <c r="AF63" s="382">
        <v>1.4E-5</v>
      </c>
      <c r="AG63" s="371" t="s">
        <v>93</v>
      </c>
      <c r="AH63" s="383">
        <f>AF12</f>
        <v>3348002.7</v>
      </c>
      <c r="AI63" s="371" t="s">
        <v>349</v>
      </c>
      <c r="AJ63" s="382">
        <v>0.13800000000000001</v>
      </c>
      <c r="AK63" s="371" t="s">
        <v>95</v>
      </c>
      <c r="AL63" s="382">
        <v>1</v>
      </c>
      <c r="AM63" s="371" t="s">
        <v>96</v>
      </c>
    </row>
    <row r="64" spans="1:39" ht="14.25" customHeight="1" x14ac:dyDescent="0.2">
      <c r="A64" s="84"/>
      <c r="B64" s="482"/>
      <c r="C64" s="386" t="s">
        <v>95</v>
      </c>
      <c r="D64" s="482"/>
      <c r="E64" s="386" t="s">
        <v>65</v>
      </c>
      <c r="F64" s="482"/>
      <c r="G64" s="386" t="s">
        <v>94</v>
      </c>
      <c r="H64" s="209">
        <v>2000</v>
      </c>
      <c r="I64" s="84" t="s">
        <v>93</v>
      </c>
      <c r="J64" s="194"/>
      <c r="K64" s="84"/>
      <c r="L64" s="482"/>
      <c r="M64" s="386" t="s">
        <v>95</v>
      </c>
      <c r="N64" s="482"/>
      <c r="O64" s="386" t="s">
        <v>65</v>
      </c>
      <c r="P64" s="482"/>
      <c r="Q64" s="386" t="s">
        <v>94</v>
      </c>
      <c r="R64" s="209">
        <v>2000</v>
      </c>
      <c r="S64" s="84" t="s">
        <v>93</v>
      </c>
      <c r="U64" s="84"/>
      <c r="V64" s="482"/>
      <c r="W64" s="386" t="s">
        <v>95</v>
      </c>
      <c r="X64" s="482"/>
      <c r="Y64" s="386" t="s">
        <v>65</v>
      </c>
      <c r="Z64" s="482"/>
      <c r="AA64" s="386" t="s">
        <v>94</v>
      </c>
      <c r="AB64" s="209">
        <v>2000</v>
      </c>
      <c r="AC64" s="84" t="s">
        <v>93</v>
      </c>
      <c r="AE64" s="84"/>
      <c r="AF64" s="482"/>
      <c r="AG64" s="386" t="s">
        <v>95</v>
      </c>
      <c r="AH64" s="482"/>
      <c r="AI64" s="386" t="s">
        <v>65</v>
      </c>
      <c r="AJ64" s="482"/>
      <c r="AK64" s="386" t="s">
        <v>94</v>
      </c>
      <c r="AL64" s="209">
        <v>2000</v>
      </c>
      <c r="AM64" s="84" t="s">
        <v>93</v>
      </c>
    </row>
    <row r="66" spans="1:39" ht="14.25" customHeight="1" x14ac:dyDescent="0.2">
      <c r="A66" s="199" t="s">
        <v>92</v>
      </c>
      <c r="B66" s="388">
        <f>(B63*D63*F63)/H64</f>
        <v>1.08274252968E-3</v>
      </c>
      <c r="C66" s="202" t="s">
        <v>96</v>
      </c>
      <c r="D66" s="84"/>
      <c r="E66" s="199" t="s">
        <v>92</v>
      </c>
      <c r="F66" s="392">
        <f>B66*2000/8760</f>
        <v>2.4720149079452054E-4</v>
      </c>
      <c r="G66" s="371" t="s">
        <v>93</v>
      </c>
      <c r="H66" s="84"/>
      <c r="I66" s="84"/>
      <c r="J66" s="84"/>
      <c r="K66" s="199" t="s">
        <v>92</v>
      </c>
      <c r="L66" s="388">
        <f>(L63*N63*P63)/R64</f>
        <v>4.1806305727200002E-3</v>
      </c>
      <c r="M66" s="202" t="s">
        <v>96</v>
      </c>
      <c r="N66" s="84"/>
      <c r="O66" s="199" t="s">
        <v>92</v>
      </c>
      <c r="P66" s="392">
        <f>L66*2000/8760</f>
        <v>9.5448186591780824E-4</v>
      </c>
      <c r="Q66" s="371" t="s">
        <v>93</v>
      </c>
      <c r="R66" s="84"/>
      <c r="S66" s="84"/>
      <c r="T66" s="84"/>
      <c r="U66" s="199" t="s">
        <v>92</v>
      </c>
      <c r="V66" s="388">
        <f>(V63*X63*Z63)/AB64</f>
        <v>3.1490079516000003E-3</v>
      </c>
      <c r="W66" s="202" t="s">
        <v>96</v>
      </c>
      <c r="X66" s="84"/>
      <c r="Y66" s="199" t="s">
        <v>92</v>
      </c>
      <c r="Z66" s="392">
        <f>V66*2000/8760</f>
        <v>7.1895158712328771E-4</v>
      </c>
      <c r="AA66" s="371" t="s">
        <v>93</v>
      </c>
      <c r="AB66" s="84"/>
      <c r="AC66" s="84"/>
      <c r="AE66" s="199" t="s">
        <v>92</v>
      </c>
      <c r="AF66" s="388">
        <f>(AF63*AH63*AJ63)/AL64</f>
        <v>3.2341706082000005E-3</v>
      </c>
      <c r="AG66" s="202" t="s">
        <v>96</v>
      </c>
      <c r="AH66" s="84"/>
      <c r="AI66" s="199" t="s">
        <v>92</v>
      </c>
      <c r="AJ66" s="392">
        <f>AF66*2000/8760</f>
        <v>7.3839511602739731E-4</v>
      </c>
      <c r="AK66" s="371" t="s">
        <v>93</v>
      </c>
      <c r="AL66" s="84"/>
      <c r="AM66" s="84"/>
    </row>
    <row r="67" spans="1:39" ht="14.25" customHeight="1" x14ac:dyDescent="0.2">
      <c r="A67" s="84"/>
      <c r="B67" s="84"/>
      <c r="C67" s="194" t="s">
        <v>65</v>
      </c>
      <c r="D67" s="84"/>
      <c r="E67" s="84"/>
      <c r="F67" s="84"/>
      <c r="G67" s="84" t="s">
        <v>98</v>
      </c>
      <c r="H67" s="84"/>
      <c r="I67" s="84"/>
      <c r="J67" s="84"/>
      <c r="K67" s="84"/>
      <c r="L67" s="84"/>
      <c r="M67" s="194" t="s">
        <v>65</v>
      </c>
      <c r="N67" s="84"/>
      <c r="O67" s="84"/>
      <c r="P67" s="84"/>
      <c r="Q67" s="84" t="s">
        <v>98</v>
      </c>
      <c r="R67" s="84"/>
      <c r="S67" s="84"/>
      <c r="T67" s="84"/>
      <c r="U67" s="84"/>
      <c r="V67" s="84"/>
      <c r="W67" s="194" t="s">
        <v>65</v>
      </c>
      <c r="X67" s="84"/>
      <c r="Y67" s="84"/>
      <c r="Z67" s="84"/>
      <c r="AA67" s="84" t="s">
        <v>98</v>
      </c>
      <c r="AB67" s="84"/>
      <c r="AC67" s="84"/>
      <c r="AE67" s="84"/>
      <c r="AF67" s="84"/>
      <c r="AG67" s="194" t="s">
        <v>65</v>
      </c>
      <c r="AH67" s="84"/>
      <c r="AI67" s="84"/>
      <c r="AJ67" s="84"/>
      <c r="AK67" s="84" t="s">
        <v>98</v>
      </c>
      <c r="AL67" s="84"/>
      <c r="AM67" s="84"/>
    </row>
    <row r="68" spans="1:39" ht="14.25" customHeight="1" x14ac:dyDescent="0.2">
      <c r="R68" s="84"/>
      <c r="S68" s="84"/>
      <c r="T68" s="84"/>
      <c r="U68" s="84"/>
    </row>
    <row r="69" spans="1:39" ht="14.25" customHeight="1" x14ac:dyDescent="0.2">
      <c r="R69" s="84"/>
      <c r="S69" s="84"/>
      <c r="T69" s="84"/>
      <c r="U69" s="84"/>
    </row>
    <row r="70" spans="1:39" ht="14.25" customHeight="1" x14ac:dyDescent="0.2">
      <c r="A70" s="84" t="s">
        <v>104</v>
      </c>
      <c r="B70" s="84"/>
      <c r="C70" s="84"/>
      <c r="D70" s="84"/>
      <c r="E70" s="84"/>
      <c r="F70" s="84"/>
      <c r="G70" s="84"/>
      <c r="K70" s="84" t="s">
        <v>104</v>
      </c>
      <c r="L70" s="84"/>
      <c r="M70" s="84"/>
      <c r="N70" s="84"/>
      <c r="O70" s="84"/>
      <c r="P70" s="84"/>
      <c r="Q70" s="84"/>
      <c r="R70" s="84"/>
      <c r="S70" s="84"/>
      <c r="T70" s="84"/>
      <c r="U70" s="84" t="s">
        <v>104</v>
      </c>
      <c r="V70" s="84"/>
      <c r="W70" s="84"/>
      <c r="X70" s="84"/>
      <c r="Y70" s="84"/>
      <c r="Z70" s="84"/>
      <c r="AA70" s="84"/>
      <c r="AE70" s="84" t="s">
        <v>104</v>
      </c>
      <c r="AF70" s="84"/>
      <c r="AG70" s="84"/>
      <c r="AH70" s="84"/>
      <c r="AI70" s="84"/>
      <c r="AJ70" s="84"/>
      <c r="AK70" s="84"/>
    </row>
    <row r="71" spans="1:39" ht="14.25" customHeight="1" x14ac:dyDescent="0.2">
      <c r="R71" s="84"/>
      <c r="S71" s="84"/>
      <c r="T71" s="84"/>
    </row>
    <row r="72" spans="1:39" ht="14.25" customHeight="1" x14ac:dyDescent="0.2">
      <c r="A72" s="199" t="s">
        <v>92</v>
      </c>
      <c r="B72" s="465">
        <f>AO13</f>
        <v>22.578420600240001</v>
      </c>
      <c r="C72" s="371" t="s">
        <v>93</v>
      </c>
      <c r="D72" s="383">
        <f>D63</f>
        <v>1120851.48</v>
      </c>
      <c r="E72" s="371" t="s">
        <v>94</v>
      </c>
      <c r="F72" s="558"/>
      <c r="G72" s="384" t="s">
        <v>96</v>
      </c>
      <c r="K72" s="199" t="s">
        <v>92</v>
      </c>
      <c r="L72" s="465">
        <f>AO13</f>
        <v>22.578420600240001</v>
      </c>
      <c r="M72" s="371" t="s">
        <v>93</v>
      </c>
      <c r="N72" s="383">
        <f>N63</f>
        <v>4327774.92</v>
      </c>
      <c r="O72" s="371" t="s">
        <v>94</v>
      </c>
      <c r="P72" s="558"/>
      <c r="Q72" s="384" t="s">
        <v>96</v>
      </c>
      <c r="R72" s="84"/>
      <c r="S72" s="84"/>
      <c r="T72" s="84"/>
      <c r="U72" s="199" t="s">
        <v>92</v>
      </c>
      <c r="V72" s="465">
        <f>AO13</f>
        <v>22.578420600240001</v>
      </c>
      <c r="W72" s="371" t="s">
        <v>93</v>
      </c>
      <c r="X72" s="383">
        <f>X63</f>
        <v>3259842.6</v>
      </c>
      <c r="Y72" s="371" t="s">
        <v>94</v>
      </c>
      <c r="Z72" s="558"/>
      <c r="AA72" s="384" t="s">
        <v>96</v>
      </c>
      <c r="AE72" s="199" t="s">
        <v>92</v>
      </c>
      <c r="AF72" s="465">
        <f>AO13</f>
        <v>22.578420600240001</v>
      </c>
      <c r="AG72" s="371" t="s">
        <v>93</v>
      </c>
      <c r="AH72" s="383">
        <f>AH63</f>
        <v>3348002.7</v>
      </c>
      <c r="AI72" s="371" t="s">
        <v>94</v>
      </c>
      <c r="AJ72" s="558"/>
      <c r="AK72" s="384" t="s">
        <v>96</v>
      </c>
    </row>
    <row r="73" spans="1:39" ht="14.25" customHeight="1" x14ac:dyDescent="0.25">
      <c r="A73" s="84"/>
      <c r="B73" s="385"/>
      <c r="C73" s="386" t="s">
        <v>94</v>
      </c>
      <c r="D73" s="561"/>
      <c r="E73" s="193" t="s">
        <v>65</v>
      </c>
      <c r="F73" s="209">
        <v>2000</v>
      </c>
      <c r="G73" s="387" t="s">
        <v>93</v>
      </c>
      <c r="K73" s="84"/>
      <c r="L73" s="385"/>
      <c r="M73" s="386" t="s">
        <v>94</v>
      </c>
      <c r="N73" s="561"/>
      <c r="O73" s="193" t="s">
        <v>65</v>
      </c>
      <c r="P73" s="209">
        <v>2000</v>
      </c>
      <c r="Q73" s="387" t="s">
        <v>93</v>
      </c>
      <c r="R73" s="84"/>
      <c r="S73" s="84"/>
      <c r="T73" s="84"/>
      <c r="U73" s="84"/>
      <c r="V73" s="385"/>
      <c r="W73" s="386" t="s">
        <v>94</v>
      </c>
      <c r="X73" s="561"/>
      <c r="Y73" s="193" t="s">
        <v>65</v>
      </c>
      <c r="Z73" s="209">
        <v>2000</v>
      </c>
      <c r="AA73" s="387" t="s">
        <v>93</v>
      </c>
      <c r="AE73" s="84"/>
      <c r="AF73" s="385"/>
      <c r="AG73" s="386" t="s">
        <v>94</v>
      </c>
      <c r="AH73" s="561"/>
      <c r="AI73" s="193" t="s">
        <v>65</v>
      </c>
      <c r="AJ73" s="209">
        <v>2000</v>
      </c>
      <c r="AK73" s="387" t="s">
        <v>93</v>
      </c>
    </row>
    <row r="74" spans="1:39" ht="14.25" customHeight="1" x14ac:dyDescent="0.2">
      <c r="R74" s="84"/>
      <c r="S74" s="84"/>
      <c r="T74" s="84"/>
    </row>
    <row r="76" spans="1:39" ht="14.25" customHeight="1" x14ac:dyDescent="0.2">
      <c r="A76" s="199" t="s">
        <v>92</v>
      </c>
      <c r="B76" s="392">
        <f>B72*D72/F73</f>
        <v>12653.528072920748</v>
      </c>
      <c r="C76" s="202" t="s">
        <v>96</v>
      </c>
      <c r="D76" s="199" t="s">
        <v>92</v>
      </c>
      <c r="E76" s="392">
        <f>B76*(2000/8760)</f>
        <v>2888.9333499819058</v>
      </c>
      <c r="F76" s="202" t="s">
        <v>93</v>
      </c>
      <c r="G76" s="84"/>
      <c r="K76" s="199" t="s">
        <v>92</v>
      </c>
      <c r="L76" s="392">
        <f>L72*N72/P73</f>
        <v>48857.16120346501</v>
      </c>
      <c r="M76" s="202" t="s">
        <v>96</v>
      </c>
      <c r="N76" s="199" t="s">
        <v>92</v>
      </c>
      <c r="O76" s="392">
        <f>L76*(2000/8760)</f>
        <v>11154.603014489727</v>
      </c>
      <c r="P76" s="202" t="s">
        <v>93</v>
      </c>
      <c r="Q76" s="84"/>
      <c r="U76" s="199" t="s">
        <v>92</v>
      </c>
      <c r="V76" s="392">
        <f>V72*X72/Z73</f>
        <v>36801.048656689964</v>
      </c>
      <c r="W76" s="202" t="s">
        <v>96</v>
      </c>
      <c r="X76" s="199" t="s">
        <v>92</v>
      </c>
      <c r="Y76" s="392">
        <f>V76*(2000/8760)</f>
        <v>8402.0659033538723</v>
      </c>
      <c r="Z76" s="202" t="s">
        <v>93</v>
      </c>
      <c r="AA76" s="84"/>
      <c r="AE76" s="199" t="s">
        <v>92</v>
      </c>
      <c r="AF76" s="392">
        <f>AF72*AH72/AJ73</f>
        <v>37796.306565669576</v>
      </c>
      <c r="AG76" s="202" t="s">
        <v>96</v>
      </c>
      <c r="AH76" s="199" t="s">
        <v>92</v>
      </c>
      <c r="AI76" s="392">
        <f>AF76*(2000/8760)</f>
        <v>8629.2937364542413</v>
      </c>
      <c r="AJ76" s="202" t="s">
        <v>93</v>
      </c>
      <c r="AK76" s="84"/>
    </row>
    <row r="77" spans="1:39" ht="14.25" customHeight="1" x14ac:dyDescent="0.2">
      <c r="A77" s="84"/>
      <c r="B77" s="84"/>
      <c r="C77" s="194" t="s">
        <v>65</v>
      </c>
      <c r="D77" s="84"/>
      <c r="E77" s="84"/>
      <c r="F77" s="194" t="s">
        <v>98</v>
      </c>
      <c r="G77" s="84"/>
      <c r="K77" s="84"/>
      <c r="L77" s="84"/>
      <c r="M77" s="194" t="s">
        <v>65</v>
      </c>
      <c r="N77" s="84"/>
      <c r="O77" s="84"/>
      <c r="P77" s="194" t="s">
        <v>98</v>
      </c>
      <c r="Q77" s="84"/>
      <c r="U77" s="84"/>
      <c r="V77" s="84"/>
      <c r="W77" s="194" t="s">
        <v>65</v>
      </c>
      <c r="X77" s="84"/>
      <c r="Y77" s="84"/>
      <c r="Z77" s="194" t="s">
        <v>98</v>
      </c>
      <c r="AA77" s="84"/>
      <c r="AE77" s="84"/>
      <c r="AF77" s="84"/>
      <c r="AG77" s="194" t="s">
        <v>65</v>
      </c>
      <c r="AH77" s="84"/>
      <c r="AI77" s="84"/>
      <c r="AJ77" s="194" t="s">
        <v>98</v>
      </c>
      <c r="AK77" s="84"/>
    </row>
  </sheetData>
  <mergeCells count="12">
    <mergeCell ref="AE50:AM50"/>
    <mergeCell ref="A51:I51"/>
    <mergeCell ref="K51:S51"/>
    <mergeCell ref="U51:AC51"/>
    <mergeCell ref="A1:I1"/>
    <mergeCell ref="K1:S1"/>
    <mergeCell ref="U1:AC1"/>
    <mergeCell ref="AE1:AM1"/>
    <mergeCell ref="A3:B3"/>
    <mergeCell ref="K3:L3"/>
    <mergeCell ref="U3:V3"/>
    <mergeCell ref="AE3:AF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253B50"/>
  </sheetPr>
  <dimension ref="A1:O176"/>
  <sheetViews>
    <sheetView showGridLines="0" zoomScaleNormal="100" workbookViewId="0">
      <pane xSplit="2" ySplit="3" topLeftCell="C4" activePane="bottomRight" state="frozen"/>
      <selection activeCell="L24" sqref="L24"/>
      <selection pane="topRight" activeCell="L24" sqref="L24"/>
      <selection pane="bottomLeft" activeCell="L24" sqref="L24"/>
      <selection pane="bottomRight" activeCell="L24" sqref="L24"/>
    </sheetView>
  </sheetViews>
  <sheetFormatPr defaultColWidth="8.7109375" defaultRowHeight="12.75" x14ac:dyDescent="0.2"/>
  <cols>
    <col min="1" max="1" width="37" customWidth="1"/>
    <col min="2" max="15" width="15" customWidth="1"/>
    <col min="16381" max="16384" width="11.5703125" customWidth="1"/>
  </cols>
  <sheetData>
    <row r="1" spans="1:15" ht="21.75" customHeight="1" x14ac:dyDescent="0.2">
      <c r="A1" s="607" t="s">
        <v>374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</row>
    <row r="2" spans="1:15" ht="30" customHeight="1" x14ac:dyDescent="0.2">
      <c r="A2" s="607"/>
      <c r="B2" s="607"/>
      <c r="C2" s="607"/>
      <c r="D2" s="607"/>
      <c r="E2" s="607"/>
      <c r="F2" s="607"/>
      <c r="G2" s="607"/>
      <c r="H2" s="607"/>
      <c r="I2" s="607"/>
      <c r="J2" s="607"/>
      <c r="K2" s="607"/>
      <c r="L2" s="607"/>
      <c r="M2" s="607"/>
      <c r="N2" s="607"/>
      <c r="O2" s="607"/>
    </row>
    <row r="3" spans="1:15" ht="37.5" customHeight="1" x14ac:dyDescent="0.2">
      <c r="A3" s="509" t="s">
        <v>375</v>
      </c>
      <c r="B3" s="510" t="s">
        <v>376</v>
      </c>
      <c r="C3" s="511">
        <v>45658</v>
      </c>
      <c r="D3" s="511">
        <v>45689</v>
      </c>
      <c r="E3" s="511">
        <v>45717</v>
      </c>
      <c r="F3" s="511">
        <v>45748</v>
      </c>
      <c r="G3" s="511">
        <v>45778</v>
      </c>
      <c r="H3" s="511">
        <v>45809</v>
      </c>
      <c r="I3" s="511">
        <v>45839</v>
      </c>
      <c r="J3" s="511">
        <v>45870</v>
      </c>
      <c r="K3" s="511">
        <v>45901</v>
      </c>
      <c r="L3" s="511">
        <v>45931</v>
      </c>
      <c r="M3" s="511">
        <v>45962</v>
      </c>
      <c r="N3" s="511">
        <v>45992</v>
      </c>
      <c r="O3" s="510" t="s">
        <v>26</v>
      </c>
    </row>
    <row r="4" spans="1:15" ht="21.75" customHeight="1" x14ac:dyDescent="0.2">
      <c r="A4" s="512" t="s">
        <v>17</v>
      </c>
      <c r="B4" s="513" t="s">
        <v>96</v>
      </c>
      <c r="C4" s="514">
        <f t="shared" ref="C4:N4" si="0">SUM(C22,C35,C52,C67,C111,C123,C135,C147,C163)</f>
        <v>58.512137772049357</v>
      </c>
      <c r="D4" s="514">
        <f t="shared" si="0"/>
        <v>65.181272509503557</v>
      </c>
      <c r="E4" s="514">
        <f t="shared" si="0"/>
        <v>36.902753577692124</v>
      </c>
      <c r="F4" s="514">
        <f t="shared" si="0"/>
        <v>34.790538643523156</v>
      </c>
      <c r="G4" s="514">
        <f t="shared" si="0"/>
        <v>48.652294765823761</v>
      </c>
      <c r="H4" s="514">
        <f t="shared" si="0"/>
        <v>80.839133099431081</v>
      </c>
      <c r="I4" s="514">
        <f t="shared" si="0"/>
        <v>96.760011918911104</v>
      </c>
      <c r="J4" s="514">
        <f t="shared" si="0"/>
        <v>80.134022208657072</v>
      </c>
      <c r="K4" s="514">
        <f t="shared" si="0"/>
        <v>83.675776119561789</v>
      </c>
      <c r="L4" s="514">
        <f t="shared" si="0"/>
        <v>104.5089754622928</v>
      </c>
      <c r="M4" s="514">
        <f t="shared" si="0"/>
        <v>89.037713514011756</v>
      </c>
      <c r="N4" s="514">
        <f t="shared" si="0"/>
        <v>75.82195901650222</v>
      </c>
      <c r="O4" s="515">
        <f t="shared" ref="O4:O13" si="1">SUM(C4:N4)</f>
        <v>854.81658860795983</v>
      </c>
    </row>
    <row r="5" spans="1:15" ht="21.75" customHeight="1" x14ac:dyDescent="0.2">
      <c r="A5" s="516" t="s">
        <v>18</v>
      </c>
      <c r="B5" s="517" t="s">
        <v>96</v>
      </c>
      <c r="C5" s="518">
        <f t="shared" ref="C5:N5" si="2">SUM(C23,C53,C81,C99)</f>
        <v>87.262276951275354</v>
      </c>
      <c r="D5" s="518">
        <f t="shared" si="2"/>
        <v>93.427430393911564</v>
      </c>
      <c r="E5" s="518">
        <f t="shared" si="2"/>
        <v>90.026196991890117</v>
      </c>
      <c r="F5" s="518">
        <f t="shared" si="2"/>
        <v>84.51952526774916</v>
      </c>
      <c r="G5" s="518">
        <f t="shared" si="2"/>
        <v>97.030327370309763</v>
      </c>
      <c r="H5" s="518">
        <f t="shared" si="2"/>
        <v>109.60150763106911</v>
      </c>
      <c r="I5" s="518">
        <f t="shared" si="2"/>
        <v>98.339627008319098</v>
      </c>
      <c r="J5" s="518">
        <f t="shared" si="2"/>
        <v>76.638487733940067</v>
      </c>
      <c r="K5" s="518">
        <f t="shared" si="2"/>
        <v>65.4665560620018</v>
      </c>
      <c r="L5" s="518">
        <f t="shared" si="2"/>
        <v>125.97275508090478</v>
      </c>
      <c r="M5" s="518">
        <f t="shared" si="2"/>
        <v>84.149549028191757</v>
      </c>
      <c r="N5" s="518">
        <f t="shared" si="2"/>
        <v>105.04342447823521</v>
      </c>
      <c r="O5" s="515">
        <f t="shared" si="1"/>
        <v>1117.4776639977979</v>
      </c>
    </row>
    <row r="6" spans="1:15" ht="21.75" customHeight="1" x14ac:dyDescent="0.2">
      <c r="A6" s="512" t="s">
        <v>40</v>
      </c>
      <c r="B6" s="513" t="s">
        <v>96</v>
      </c>
      <c r="C6" s="514">
        <f t="shared" ref="C6:N6" si="3">SUM(C24,C54,C88)</f>
        <v>37.190197741155359</v>
      </c>
      <c r="D6" s="514">
        <f t="shared" si="3"/>
        <v>39.105553779811558</v>
      </c>
      <c r="E6" s="514">
        <f t="shared" si="3"/>
        <v>31.159001675862122</v>
      </c>
      <c r="F6" s="514">
        <f t="shared" si="3"/>
        <v>28.127481180725162</v>
      </c>
      <c r="G6" s="514">
        <f t="shared" si="3"/>
        <v>43.926497354129758</v>
      </c>
      <c r="H6" s="514">
        <f t="shared" si="3"/>
        <v>61.960821564916081</v>
      </c>
      <c r="I6" s="514">
        <f t="shared" si="3"/>
        <v>50.2243718912991</v>
      </c>
      <c r="J6" s="514">
        <f t="shared" si="3"/>
        <v>30.552944868840058</v>
      </c>
      <c r="K6" s="514">
        <f t="shared" si="3"/>
        <v>29.2205343994518</v>
      </c>
      <c r="L6" s="514">
        <f t="shared" si="3"/>
        <v>58.216669787584799</v>
      </c>
      <c r="M6" s="514">
        <f t="shared" si="3"/>
        <v>37.859379085301761</v>
      </c>
      <c r="N6" s="514">
        <f t="shared" si="3"/>
        <v>45.453890446535219</v>
      </c>
      <c r="O6" s="515">
        <f t="shared" si="1"/>
        <v>492.99734377561288</v>
      </c>
    </row>
    <row r="7" spans="1:15" ht="21.75" customHeight="1" x14ac:dyDescent="0.2">
      <c r="A7" s="516" t="s">
        <v>377</v>
      </c>
      <c r="B7" s="517" t="s">
        <v>96</v>
      </c>
      <c r="C7" s="518">
        <f t="shared" ref="C7:N7" si="4">SUM(C25,C36,C55,C68,C82,C100,C112,C124,C136,C148,C164)</f>
        <v>894.37630747517096</v>
      </c>
      <c r="D7" s="518">
        <f t="shared" si="4"/>
        <v>1007.3207569154666</v>
      </c>
      <c r="E7" s="518">
        <f t="shared" si="4"/>
        <v>595.67488217008861</v>
      </c>
      <c r="F7" s="518">
        <f t="shared" si="4"/>
        <v>519.05984307425967</v>
      </c>
      <c r="G7" s="518">
        <f t="shared" si="4"/>
        <v>877.10040058678578</v>
      </c>
      <c r="H7" s="518">
        <f t="shared" si="4"/>
        <v>1172.6978970385996</v>
      </c>
      <c r="I7" s="518">
        <f t="shared" si="4"/>
        <v>1226.2749829114823</v>
      </c>
      <c r="J7" s="518">
        <f t="shared" si="4"/>
        <v>907.38245571334994</v>
      </c>
      <c r="K7" s="518">
        <f t="shared" si="4"/>
        <v>864.97644751193775</v>
      </c>
      <c r="L7" s="518">
        <f t="shared" si="4"/>
        <v>1348.2079802792118</v>
      </c>
      <c r="M7" s="518">
        <f t="shared" si="4"/>
        <v>1076.5338037303379</v>
      </c>
      <c r="N7" s="518">
        <f t="shared" si="4"/>
        <v>1290.2509947974345</v>
      </c>
      <c r="O7" s="515">
        <f t="shared" si="1"/>
        <v>11779.856752204125</v>
      </c>
    </row>
    <row r="8" spans="1:15" ht="21.75" customHeight="1" x14ac:dyDescent="0.2">
      <c r="A8" s="512" t="s">
        <v>20</v>
      </c>
      <c r="B8" s="513" t="s">
        <v>96</v>
      </c>
      <c r="C8" s="514">
        <f t="shared" ref="C8:N8" si="5">SUM(C26,C37,C56,C69,C83,C104,C113,C125,C137,C149,C165)</f>
        <v>1382.0856596981077</v>
      </c>
      <c r="D8" s="514">
        <f t="shared" si="5"/>
        <v>1241.4344456965021</v>
      </c>
      <c r="E8" s="514">
        <f t="shared" si="5"/>
        <v>1085.8504544865639</v>
      </c>
      <c r="F8" s="514">
        <f t="shared" si="5"/>
        <v>1222.1755428779434</v>
      </c>
      <c r="G8" s="514">
        <f t="shared" si="5"/>
        <v>1411.3885195981645</v>
      </c>
      <c r="H8" s="514">
        <f t="shared" si="5"/>
        <v>1752.2067541799829</v>
      </c>
      <c r="I8" s="514">
        <f t="shared" si="5"/>
        <v>1834.3981817401802</v>
      </c>
      <c r="J8" s="514">
        <f t="shared" si="5"/>
        <v>1866.2606313875381</v>
      </c>
      <c r="K8" s="514">
        <f t="shared" si="5"/>
        <v>1666.0673059720075</v>
      </c>
      <c r="L8" s="514">
        <f t="shared" si="5"/>
        <v>2317.2207227153008</v>
      </c>
      <c r="M8" s="514">
        <f t="shared" si="5"/>
        <v>1861.9435444570674</v>
      </c>
      <c r="N8" s="514">
        <f t="shared" si="5"/>
        <v>1517.6274590696219</v>
      </c>
      <c r="O8" s="515">
        <f t="shared" si="1"/>
        <v>19158.659221878981</v>
      </c>
    </row>
    <row r="9" spans="1:15" ht="21.75" customHeight="1" x14ac:dyDescent="0.2">
      <c r="A9" s="516" t="s">
        <v>22</v>
      </c>
      <c r="B9" s="517" t="s">
        <v>96</v>
      </c>
      <c r="C9" s="518">
        <f t="shared" ref="C9:N9" si="6">SUM(C27,C38,C57,C70,C84,C101,C114,C126,C138,C150,C166)</f>
        <v>12.343197913114963</v>
      </c>
      <c r="D9" s="518">
        <f t="shared" si="6"/>
        <v>13.134758090405461</v>
      </c>
      <c r="E9" s="518">
        <f t="shared" si="6"/>
        <v>13.746120813508711</v>
      </c>
      <c r="F9" s="518">
        <f t="shared" si="6"/>
        <v>13.83516286351926</v>
      </c>
      <c r="G9" s="518">
        <f t="shared" si="6"/>
        <v>10.315818406627162</v>
      </c>
      <c r="H9" s="518">
        <f t="shared" si="6"/>
        <v>12.456794220386501</v>
      </c>
      <c r="I9" s="518">
        <f t="shared" si="6"/>
        <v>15.658967247183952</v>
      </c>
      <c r="J9" s="518">
        <f t="shared" si="6"/>
        <v>14.884425087032913</v>
      </c>
      <c r="K9" s="518">
        <f t="shared" si="6"/>
        <v>14.505953958616502</v>
      </c>
      <c r="L9" s="518">
        <f t="shared" si="6"/>
        <v>20.192843253397196</v>
      </c>
      <c r="M9" s="518">
        <f t="shared" si="6"/>
        <v>14.782041681334361</v>
      </c>
      <c r="N9" s="518">
        <f t="shared" si="6"/>
        <v>12.00377497255497</v>
      </c>
      <c r="O9" s="515">
        <f t="shared" si="1"/>
        <v>167.85985850768193</v>
      </c>
    </row>
    <row r="10" spans="1:15" ht="21.75" customHeight="1" x14ac:dyDescent="0.2">
      <c r="A10" s="512" t="s">
        <v>21</v>
      </c>
      <c r="B10" s="513" t="s">
        <v>96</v>
      </c>
      <c r="C10" s="514">
        <f t="shared" ref="C10:N10" si="7">SUM(C28,C39,C58,C71,C85,C105,C115,C127,C139,C151,C167)</f>
        <v>64.67548673781333</v>
      </c>
      <c r="D10" s="514">
        <f t="shared" si="7"/>
        <v>63.413538516823365</v>
      </c>
      <c r="E10" s="514">
        <f t="shared" si="7"/>
        <v>51.497655222362617</v>
      </c>
      <c r="F10" s="514">
        <f t="shared" si="7"/>
        <v>51.812839393153503</v>
      </c>
      <c r="G10" s="514">
        <f t="shared" si="7"/>
        <v>60.562183750427707</v>
      </c>
      <c r="H10" s="514">
        <f t="shared" si="7"/>
        <v>70.698767161910297</v>
      </c>
      <c r="I10" s="514">
        <f t="shared" si="7"/>
        <v>86.894307691168578</v>
      </c>
      <c r="J10" s="514">
        <f t="shared" si="7"/>
        <v>92.457227692794405</v>
      </c>
      <c r="K10" s="514">
        <f t="shared" si="7"/>
        <v>95.138955078215275</v>
      </c>
      <c r="L10" s="514">
        <f t="shared" si="7"/>
        <v>108.57447931684537</v>
      </c>
      <c r="M10" s="514">
        <f t="shared" si="7"/>
        <v>95.687329127981329</v>
      </c>
      <c r="N10" s="514">
        <f t="shared" si="7"/>
        <v>77.22802222631941</v>
      </c>
      <c r="O10" s="515">
        <f t="shared" si="1"/>
        <v>918.64079191581527</v>
      </c>
    </row>
    <row r="11" spans="1:15" ht="21.75" customHeight="1" x14ac:dyDescent="0.2">
      <c r="A11" s="516" t="s">
        <v>42</v>
      </c>
      <c r="B11" s="517" t="s">
        <v>96</v>
      </c>
      <c r="C11" s="518">
        <f t="shared" ref="C11:N11" si="8">SUM(C29,C59,C89)</f>
        <v>19.512936113971552</v>
      </c>
      <c r="D11" s="518">
        <f t="shared" si="8"/>
        <v>28.244266546489925</v>
      </c>
      <c r="E11" s="518">
        <f t="shared" si="8"/>
        <v>21.22316562003649</v>
      </c>
      <c r="F11" s="518">
        <f t="shared" si="8"/>
        <v>18.107929458196626</v>
      </c>
      <c r="G11" s="518">
        <f t="shared" si="8"/>
        <v>31.65568046770921</v>
      </c>
      <c r="H11" s="518">
        <f t="shared" si="8"/>
        <v>43.92545303349906</v>
      </c>
      <c r="I11" s="518">
        <f t="shared" si="8"/>
        <v>32.349238459818849</v>
      </c>
      <c r="J11" s="518">
        <f t="shared" si="8"/>
        <v>18.245221852383029</v>
      </c>
      <c r="K11" s="518">
        <f t="shared" si="8"/>
        <v>13.74856602961099</v>
      </c>
      <c r="L11" s="518">
        <f t="shared" si="8"/>
        <v>31.068527057478541</v>
      </c>
      <c r="M11" s="518">
        <f t="shared" si="8"/>
        <v>24.012642118166521</v>
      </c>
      <c r="N11" s="518">
        <f t="shared" si="8"/>
        <v>35.517014936077331</v>
      </c>
      <c r="O11" s="515">
        <f t="shared" si="1"/>
        <v>317.61064169343808</v>
      </c>
    </row>
    <row r="12" spans="1:15" ht="21.75" customHeight="1" x14ac:dyDescent="0.2">
      <c r="A12" s="512" t="s">
        <v>23</v>
      </c>
      <c r="B12" s="513" t="s">
        <v>96</v>
      </c>
      <c r="C12" s="519">
        <f t="shared" ref="C12:N12" si="9">SUM(C30,C40,C60,C72,C86,C102,C116,C128,C140,C152,C168)</f>
        <v>2.7116493485085002E-2</v>
      </c>
      <c r="D12" s="519">
        <f t="shared" si="9"/>
        <v>2.6616114339215007E-2</v>
      </c>
      <c r="E12" s="519">
        <f t="shared" si="9"/>
        <v>2.7922349061386003E-2</v>
      </c>
      <c r="F12" s="519">
        <f t="shared" si="9"/>
        <v>3.0565231328414998E-2</v>
      </c>
      <c r="G12" s="519">
        <f t="shared" si="9"/>
        <v>2.2616209025319998E-2</v>
      </c>
      <c r="H12" s="519">
        <f t="shared" si="9"/>
        <v>2.9973255982160003E-2</v>
      </c>
      <c r="I12" s="519">
        <f t="shared" si="9"/>
        <v>3.4587582916315002E-2</v>
      </c>
      <c r="J12" s="519">
        <f t="shared" si="9"/>
        <v>3.0125797870515E-2</v>
      </c>
      <c r="K12" s="519">
        <f t="shared" si="9"/>
        <v>2.5474843838180005E-2</v>
      </c>
      <c r="L12" s="519">
        <f t="shared" si="9"/>
        <v>4.09950161982E-2</v>
      </c>
      <c r="M12" s="519">
        <f t="shared" si="9"/>
        <v>3.1425087056645006E-2</v>
      </c>
      <c r="N12" s="519">
        <f t="shared" si="9"/>
        <v>2.8329080322505005E-2</v>
      </c>
      <c r="O12" s="520">
        <f t="shared" si="1"/>
        <v>0.35574706142394102</v>
      </c>
    </row>
    <row r="13" spans="1:15" ht="21.75" customHeight="1" x14ac:dyDescent="0.2">
      <c r="A13" s="521" t="s">
        <v>24</v>
      </c>
      <c r="B13" s="522" t="s">
        <v>96</v>
      </c>
      <c r="C13" s="523">
        <f t="shared" ref="C13:N13" si="10">SUM(C31,C41,C61,C73,C87,C103,C117,C129,C141,C153,C169)</f>
        <v>610909.39159251843</v>
      </c>
      <c r="D13" s="523">
        <f t="shared" si="10"/>
        <v>574977.56260886253</v>
      </c>
      <c r="E13" s="523">
        <f t="shared" si="10"/>
        <v>493313.22917910904</v>
      </c>
      <c r="F13" s="523">
        <f t="shared" si="10"/>
        <v>513957.17083869351</v>
      </c>
      <c r="G13" s="523">
        <f t="shared" si="10"/>
        <v>597630.5008923714</v>
      </c>
      <c r="H13" s="523">
        <f t="shared" si="10"/>
        <v>750393.81124787952</v>
      </c>
      <c r="I13" s="523">
        <f t="shared" si="10"/>
        <v>782098.17731097154</v>
      </c>
      <c r="J13" s="523">
        <f t="shared" si="10"/>
        <v>752623.08916093293</v>
      </c>
      <c r="K13" s="523">
        <f t="shared" si="10"/>
        <v>713204.77655112464</v>
      </c>
      <c r="L13" s="523">
        <f t="shared" si="10"/>
        <v>969864.94331582368</v>
      </c>
      <c r="M13" s="523">
        <f t="shared" si="10"/>
        <v>772372.88113573985</v>
      </c>
      <c r="N13" s="523">
        <f t="shared" si="10"/>
        <v>665871.88250705926</v>
      </c>
      <c r="O13" s="524">
        <f t="shared" si="1"/>
        <v>8197217.4163410868</v>
      </c>
    </row>
    <row r="14" spans="1:15" ht="31.5" customHeight="1" x14ac:dyDescent="0.2">
      <c r="A14" s="608" t="s">
        <v>378</v>
      </c>
      <c r="B14" s="608"/>
      <c r="C14" s="608"/>
      <c r="D14" s="608"/>
      <c r="E14" s="608"/>
      <c r="F14" s="608"/>
      <c r="G14" s="608"/>
      <c r="H14" s="608"/>
      <c r="I14" s="608"/>
      <c r="J14" s="608"/>
      <c r="K14" s="608"/>
      <c r="L14" s="608"/>
      <c r="M14" s="608"/>
      <c r="N14" s="608"/>
      <c r="O14" s="608"/>
    </row>
    <row r="15" spans="1:15" ht="31.5" customHeight="1" x14ac:dyDescent="0.2">
      <c r="A15" s="609" t="s">
        <v>379</v>
      </c>
      <c r="B15" s="609"/>
      <c r="C15" s="525"/>
      <c r="D15" s="525"/>
      <c r="E15" s="525"/>
      <c r="F15" s="525"/>
      <c r="G15" s="525"/>
      <c r="H15" s="525"/>
      <c r="I15" s="525"/>
      <c r="J15" s="525"/>
      <c r="K15" s="525"/>
      <c r="L15" s="525"/>
      <c r="M15" s="525"/>
      <c r="N15" s="525"/>
      <c r="O15" s="525"/>
    </row>
    <row r="16" spans="1:15" ht="21.75" hidden="1" customHeight="1" x14ac:dyDescent="0.2">
      <c r="A16" s="513" t="s">
        <v>380</v>
      </c>
      <c r="B16" s="513" t="s">
        <v>94</v>
      </c>
      <c r="C16" s="526">
        <f>'Costa Sur'!$D$5</f>
        <v>330906.65999999997</v>
      </c>
      <c r="D16" s="526">
        <f>'Costa Sur'!$D$6</f>
        <v>762088.32</v>
      </c>
      <c r="E16" s="526">
        <f>'Costa Sur'!$D$7</f>
        <v>0</v>
      </c>
      <c r="F16" s="526">
        <f>'Costa Sur'!$D$8</f>
        <v>0</v>
      </c>
      <c r="G16" s="526">
        <f>'Costa Sur'!$D$9</f>
        <v>2658474.42</v>
      </c>
      <c r="H16" s="526">
        <f>'Costa Sur'!$D$10</f>
        <v>10104505.32</v>
      </c>
      <c r="I16" s="526">
        <f>'Costa Sur'!$D$11</f>
        <v>3136727.58</v>
      </c>
      <c r="J16" s="526">
        <f>'Costa Sur'!$D$12</f>
        <v>1383275.46</v>
      </c>
      <c r="K16" s="526">
        <f>'Costa Sur'!$D$13</f>
        <v>665703.36</v>
      </c>
      <c r="L16" s="526">
        <f>'Costa Sur'!$D$14</f>
        <v>2844801.12</v>
      </c>
      <c r="M16" s="526">
        <f>'Costa Sur'!$D$15</f>
        <v>2041878.3</v>
      </c>
      <c r="N16" s="526">
        <f>'Costa Sur'!$D$16</f>
        <v>4440474.3600000003</v>
      </c>
      <c r="O16" s="527">
        <f>SUM(C16:N16)</f>
        <v>28368834.900000002</v>
      </c>
    </row>
    <row r="17" spans="1:15" ht="21.75" hidden="1" customHeight="1" x14ac:dyDescent="0.2">
      <c r="A17" s="513" t="s">
        <v>381</v>
      </c>
      <c r="B17" s="513" t="s">
        <v>74</v>
      </c>
      <c r="C17" s="528">
        <f>'Costa Sur'!$B$42</f>
        <v>1554213850</v>
      </c>
      <c r="D17" s="528">
        <f>'Costa Sur'!$B$43</f>
        <v>1267505400</v>
      </c>
      <c r="E17" s="528">
        <f>'Costa Sur'!$B$44</f>
        <v>0</v>
      </c>
      <c r="F17" s="528">
        <f>'Costa Sur'!$B$45</f>
        <v>0</v>
      </c>
      <c r="G17" s="528">
        <f>'Costa Sur'!$B$46</f>
        <v>1357855300</v>
      </c>
      <c r="H17" s="528">
        <f>'Costa Sur'!$B$47</f>
        <v>522307994.19999999</v>
      </c>
      <c r="I17" s="528">
        <f>'Costa Sur'!$B$48</f>
        <v>1422853380</v>
      </c>
      <c r="J17" s="528">
        <f>'Costa Sur'!$B$49</f>
        <v>2189928000</v>
      </c>
      <c r="K17" s="528">
        <f>'Costa Sur'!$B$50</f>
        <v>2168538000</v>
      </c>
      <c r="L17" s="528">
        <f>'Costa Sur'!$B$51</f>
        <v>2250942444</v>
      </c>
      <c r="M17" s="528">
        <f>'Costa Sur'!$B$52</f>
        <v>1824088440</v>
      </c>
      <c r="N17" s="528">
        <f>'Costa Sur'!$B$53</f>
        <v>1158591780</v>
      </c>
      <c r="O17" s="529">
        <f>SUM(C17:N17)</f>
        <v>15716824588.200001</v>
      </c>
    </row>
    <row r="18" spans="1:15" ht="21.75" hidden="1" customHeight="1" x14ac:dyDescent="0.2">
      <c r="A18" s="513" t="s">
        <v>382</v>
      </c>
      <c r="B18" s="513" t="s">
        <v>383</v>
      </c>
      <c r="C18" s="530">
        <f>'Costa Sur'!$H$5</f>
        <v>0.49</v>
      </c>
      <c r="D18" s="530">
        <f>'Costa Sur'!$H$6</f>
        <v>0.48</v>
      </c>
      <c r="E18" s="530">
        <f>'Costa Sur'!$H$7</f>
        <v>0.49</v>
      </c>
      <c r="F18" s="530">
        <f>'Costa Sur'!$H$8</f>
        <v>0.48</v>
      </c>
      <c r="G18" s="530">
        <f>'Costa Sur'!$H$9</f>
        <v>0.49</v>
      </c>
      <c r="H18" s="530">
        <f>'Costa Sur'!$H$10</f>
        <v>0.49</v>
      </c>
      <c r="I18" s="530">
        <f>'Costa Sur'!$H$11</f>
        <v>0.49</v>
      </c>
      <c r="J18" s="530">
        <f>'Costa Sur'!$H$12</f>
        <v>0.49</v>
      </c>
      <c r="K18" s="530">
        <f>'Costa Sur'!$H$13</f>
        <v>0.49</v>
      </c>
      <c r="L18" s="530">
        <f>'Costa Sur'!$H$14</f>
        <v>0.49</v>
      </c>
      <c r="M18" s="530">
        <f>'Costa Sur'!$H$15</f>
        <v>0.49</v>
      </c>
      <c r="N18" s="530">
        <f>'Costa Sur'!$H$16</f>
        <v>0.47</v>
      </c>
      <c r="O18" s="531">
        <f>IF(O16=0,0,SUMPRODUCT(C18:N18,C16:N16)/O16)</f>
        <v>0.48660083430497175</v>
      </c>
    </row>
    <row r="19" spans="1:15" ht="21.75" hidden="1" customHeight="1" x14ac:dyDescent="0.2">
      <c r="A19" s="513" t="s">
        <v>384</v>
      </c>
      <c r="B19" s="513" t="s">
        <v>94</v>
      </c>
      <c r="C19" s="526">
        <f>'Costa Sur'!$E$5</f>
        <v>8255976.96</v>
      </c>
      <c r="D19" s="526">
        <f>'Costa Sur'!$E$6</f>
        <v>8463100.3800000008</v>
      </c>
      <c r="E19" s="526">
        <f>'Costa Sur'!$E$7</f>
        <v>3474278.64</v>
      </c>
      <c r="F19" s="526">
        <f>'Costa Sur'!$E$8</f>
        <v>2669000.46</v>
      </c>
      <c r="G19" s="526">
        <f>'Costa Sur'!$E$9</f>
        <v>8645531.5800000001</v>
      </c>
      <c r="H19" s="526">
        <f>'Costa Sur'!$E$10</f>
        <v>7613907</v>
      </c>
      <c r="I19" s="526">
        <f>'Costa Sur'!$E$11</f>
        <v>8141125.4400000004</v>
      </c>
      <c r="J19" s="526">
        <f>'Costa Sur'!$E$12</f>
        <v>1111535.8799999999</v>
      </c>
      <c r="K19" s="526">
        <f>'Costa Sur'!$E$13</f>
        <v>287365.68</v>
      </c>
      <c r="L19" s="526">
        <f>'Costa Sur'!$E$14</f>
        <v>6398555.5199999996</v>
      </c>
      <c r="M19" s="526">
        <f>'Costa Sur'!$E$15</f>
        <v>3906787.08</v>
      </c>
      <c r="N19" s="526">
        <f>'Costa Sur'!$E$16</f>
        <v>9949477.0199999996</v>
      </c>
      <c r="O19" s="527">
        <f>SUM(C19:N19)</f>
        <v>68916641.640000001</v>
      </c>
    </row>
    <row r="20" spans="1:15" ht="21.75" hidden="1" customHeight="1" x14ac:dyDescent="0.2">
      <c r="A20" s="513" t="s">
        <v>385</v>
      </c>
      <c r="B20" s="513" t="s">
        <v>74</v>
      </c>
      <c r="C20" s="528">
        <f>'Costa Sur'!$C$42</f>
        <v>745542910</v>
      </c>
      <c r="D20" s="528">
        <f>'Costa Sur'!$C$43</f>
        <v>526697500</v>
      </c>
      <c r="E20" s="528">
        <f>'Costa Sur'!$C$44</f>
        <v>1555548100</v>
      </c>
      <c r="F20" s="528">
        <f>'Costa Sur'!$C$45</f>
        <v>1605781227</v>
      </c>
      <c r="G20" s="528">
        <f>'Costa Sur'!$C$46</f>
        <v>854542040</v>
      </c>
      <c r="H20" s="528">
        <f>'Costa Sur'!$C$47</f>
        <v>1132051705.97</v>
      </c>
      <c r="I20" s="528">
        <f>'Costa Sur'!$C$48</f>
        <v>661591230</v>
      </c>
      <c r="J20" s="528">
        <f>'Costa Sur'!$C$49</f>
        <v>1737847350</v>
      </c>
      <c r="K20" s="528">
        <f>'Costa Sur'!$C$50</f>
        <v>1802932000</v>
      </c>
      <c r="L20" s="528">
        <f>'Costa Sur'!$C$51</f>
        <v>1871443416</v>
      </c>
      <c r="M20" s="528">
        <f>'Costa Sur'!$C$52</f>
        <v>1252750380</v>
      </c>
      <c r="N20" s="528">
        <f>'Costa Sur'!$C$53</f>
        <v>314048870</v>
      </c>
      <c r="O20" s="529">
        <f>SUM(C20:N20)</f>
        <v>14060776728.970001</v>
      </c>
    </row>
    <row r="21" spans="1:15" ht="21.75" hidden="1" customHeight="1" x14ac:dyDescent="0.2">
      <c r="A21" s="513" t="s">
        <v>386</v>
      </c>
      <c r="B21" s="513" t="s">
        <v>383</v>
      </c>
      <c r="C21" s="530">
        <f>'Costa Sur'!$I$5</f>
        <v>0.49</v>
      </c>
      <c r="D21" s="530">
        <f>'Costa Sur'!$I$6</f>
        <v>0.48</v>
      </c>
      <c r="E21" s="530">
        <f>'Costa Sur'!$I$7</f>
        <v>0.49</v>
      </c>
      <c r="F21" s="530">
        <f>'Costa Sur'!$I$8</f>
        <v>0.48</v>
      </c>
      <c r="G21" s="530">
        <f>'Costa Sur'!$I$9</f>
        <v>0.49</v>
      </c>
      <c r="H21" s="530">
        <f>'Costa Sur'!$I$10</f>
        <v>0.49</v>
      </c>
      <c r="I21" s="530">
        <f>'Costa Sur'!$I$11</f>
        <v>0.49</v>
      </c>
      <c r="J21" s="530">
        <f>'Costa Sur'!$I$12</f>
        <v>0.49</v>
      </c>
      <c r="K21" s="530">
        <f>'Costa Sur'!$I$13</f>
        <v>0.49</v>
      </c>
      <c r="L21" s="530">
        <f>'Costa Sur'!$I$14</f>
        <v>0.49</v>
      </c>
      <c r="M21" s="530">
        <f>'Costa Sur'!$I$15</f>
        <v>0.49</v>
      </c>
      <c r="N21" s="530">
        <f>'Costa Sur'!$I$16</f>
        <v>0.47</v>
      </c>
      <c r="O21" s="531">
        <f>IF(O19=0,0,SUMPRODUCT(C21:N21,C19:N19)/O19)</f>
        <v>0.48549730600018248</v>
      </c>
    </row>
    <row r="22" spans="1:15" ht="21.75" customHeight="1" x14ac:dyDescent="0.2">
      <c r="A22" s="513" t="s">
        <v>17</v>
      </c>
      <c r="B22" s="513" t="s">
        <v>96</v>
      </c>
      <c r="C22" s="514">
        <f>((((C16)*'CS 5'!$E$38*'CS 5'!$H$38+(C17)*'CS 5'!$O$38*'CS 5'!$R$38/1000000)/2000))+((((C19)*'CS 6'!$E$38*'CS 6'!$H$38+(C20)*'CS 6'!$O$38*'CS 6'!$R$38/1000000)/2000))</f>
        <v>23.689815042249997</v>
      </c>
      <c r="D22" s="514">
        <f>((((D16)*'CS 5'!$E$38*'CS 5'!$H$38+(D17)*'CS 5'!$O$38*'CS 5'!$R$38/1000000)/2000))+((((D19)*'CS 6'!$E$38*'CS 6'!$H$38+(D20)*'CS 6'!$O$38*'CS 6'!$R$38/1000000)/2000))</f>
        <v>23.691879233749997</v>
      </c>
      <c r="E22" s="514">
        <f>((((E16)*'CS 5'!$E$38*'CS 5'!$H$38+(E17)*'CS 5'!$O$38*'CS 5'!$R$38/1000000)/2000))+((((E19)*'CS 6'!$E$38*'CS 6'!$H$38+(E20)*'CS 6'!$O$38*'CS 6'!$R$38/1000000)/2000))</f>
        <v>11.210124754999999</v>
      </c>
      <c r="F22" s="514">
        <f>((((F16)*'CS 5'!$E$38*'CS 5'!$H$38+(F17)*'CS 5'!$O$38*'CS 5'!$R$38/1000000)/2000))+((((F19)*'CS 6'!$E$38*'CS 6'!$H$38+(F20)*'CS 6'!$O$38*'CS 6'!$R$38/1000000)/2000))</f>
        <v>9.6798446389499979</v>
      </c>
      <c r="G22" s="514">
        <f>((((G16)*'CS 5'!$E$38*'CS 5'!$H$38+(G17)*'CS 5'!$O$38*'CS 5'!$R$38/1000000)/2000))+((((G19)*'CS 6'!$E$38*'CS 6'!$H$38+(G20)*'CS 6'!$O$38*'CS 6'!$R$38/1000000)/2000))</f>
        <v>29.066745458999996</v>
      </c>
      <c r="H22" s="514">
        <f>((((H16)*'CS 5'!$E$38*'CS 5'!$H$38+(H17)*'CS 5'!$O$38*'CS 5'!$R$38/1000000)/2000))+((((H19)*'CS 6'!$E$38*'CS 6'!$H$38+(H20)*'CS 6'!$O$38*'CS 6'!$R$38/1000000)/2000))</f>
        <v>40.845560630442002</v>
      </c>
      <c r="I22" s="514">
        <f>((((I16)*'CS 5'!$E$38*'CS 5'!$H$38+(I17)*'CS 5'!$O$38*'CS 5'!$R$38/1000000)/2000))+((((I19)*'CS 6'!$E$38*'CS 6'!$H$38+(I20)*'CS 6'!$O$38*'CS 6'!$R$38/1000000)/2000))</f>
        <v>28.680127839750003</v>
      </c>
      <c r="J22" s="514">
        <f>((((J16)*'CS 5'!$E$38*'CS 5'!$H$38+(J17)*'CS 5'!$O$38*'CS 5'!$R$38/1000000)/2000))+((((J19)*'CS 6'!$E$38*'CS 6'!$H$38+(J20)*'CS 6'!$O$38*'CS 6'!$R$38/1000000)/2000))</f>
        <v>15.35776429875</v>
      </c>
      <c r="K22" s="514">
        <f>((((K16)*'CS 5'!$E$38*'CS 5'!$H$38+(K17)*'CS 5'!$O$38*'CS 5'!$R$38/1000000)/2000))+((((K19)*'CS 6'!$E$38*'CS 6'!$H$38+(K20)*'CS 6'!$O$38*'CS 6'!$R$38/1000000)/2000))</f>
        <v>12.291526895000001</v>
      </c>
      <c r="L22" s="514">
        <f>((((L16)*'CS 5'!$E$38*'CS 5'!$H$38+(L17)*'CS 5'!$O$38*'CS 5'!$R$38/1000000)/2000))+((((L19)*'CS 6'!$E$38*'CS 6'!$H$38+(L20)*'CS 6'!$O$38*'CS 6'!$R$38/1000000)/2000))</f>
        <v>29.782626305999997</v>
      </c>
      <c r="M22" s="514">
        <f>((((M16)*'CS 5'!$E$38*'CS 5'!$H$38+(M17)*'CS 5'!$O$38*'CS 5'!$R$38/1000000)/2000))+((((M19)*'CS 6'!$E$38*'CS 6'!$H$38+(M20)*'CS 6'!$O$38*'CS 6'!$R$38/1000000)/2000))</f>
        <v>20.268903278250001</v>
      </c>
      <c r="N22" s="514">
        <f>((((N16)*'CS 5'!$E$38*'CS 5'!$H$38+(N17)*'CS 5'!$O$38*'CS 5'!$R$38/1000000)/2000))+((((N19)*'CS 6'!$E$38*'CS 6'!$H$38+(N20)*'CS 6'!$O$38*'CS 6'!$R$38/1000000)/2000))</f>
        <v>33.508140411249997</v>
      </c>
      <c r="O22" s="532">
        <f t="shared" ref="O22:O31" si="11">SUM(C22:N22)</f>
        <v>278.07305878839202</v>
      </c>
    </row>
    <row r="23" spans="1:15" ht="21.75" customHeight="1" x14ac:dyDescent="0.2">
      <c r="A23" s="513" t="s">
        <v>18</v>
      </c>
      <c r="B23" s="513" t="s">
        <v>96</v>
      </c>
      <c r="C23" s="514">
        <f>((((C16)*'CS 5'!$E$44*'CS 5'!$H$44+(C17)*'CS 5'!$O$44*'CS 5'!$R$44/1000000)/2000))+((((C19)*'CS 6'!$E$44*'CS 6'!$H$44+(C20)*'CS 6'!$O$44*'CS 6'!$R$44/1000000)/2000))</f>
        <v>35.44722633312</v>
      </c>
      <c r="D23" s="514">
        <f>((((D16)*'CS 5'!$E$44*'CS 5'!$H$44+(D17)*'CS 5'!$O$44*'CS 5'!$R$44/1000000)/2000))+((((D19)*'CS 6'!$E$44*'CS 6'!$H$44+(D20)*'CS 6'!$O$44*'CS 6'!$R$44/1000000)/2000))</f>
        <v>35.232748714800003</v>
      </c>
      <c r="E23" s="514">
        <f>((((E16)*'CS 5'!$E$44*'CS 5'!$H$44+(E17)*'CS 5'!$O$44*'CS 5'!$R$44/1000000)/2000))+((((E19)*'CS 6'!$E$44*'CS 6'!$H$44+(E20)*'CS 6'!$O$44*'CS 6'!$R$44/1000000)/2000))</f>
        <v>16.974804517199999</v>
      </c>
      <c r="F23" s="514">
        <f>((((F16)*'CS 5'!$E$44*'CS 5'!$H$44+(F17)*'CS 5'!$O$44*'CS 5'!$R$44/1000000)/2000))+((((F19)*'CS 6'!$E$44*'CS 6'!$H$44+(F20)*'CS 6'!$O$44*'CS 6'!$R$44/1000000)/2000))</f>
        <v>14.770551908123998</v>
      </c>
      <c r="G23" s="514">
        <f>((((G16)*'CS 5'!$E$44*'CS 5'!$H$44+(G17)*'CS 5'!$O$44*'CS 5'!$R$44/1000000)/2000))+((((G19)*'CS 6'!$E$44*'CS 6'!$H$44+(G20)*'CS 6'!$O$44*'CS 6'!$R$44/1000000)/2000))</f>
        <v>43.230635596079999</v>
      </c>
      <c r="H23" s="514">
        <f>((((H16)*'CS 5'!$E$44*'CS 5'!$H$44+(H17)*'CS 5'!$O$44*'CS 5'!$R$44/1000000)/2000))+((((H19)*'CS 6'!$E$44*'CS 6'!$H$44+(H20)*'CS 6'!$O$44*'CS 6'!$R$44/1000000)/2000))</f>
        <v>60.12340001711604</v>
      </c>
      <c r="I23" s="514">
        <f>((((I16)*'CS 5'!$E$44*'CS 5'!$H$44+(I17)*'CS 5'!$O$44*'CS 5'!$R$44/1000000)/2000))+((((I19)*'CS 6'!$E$44*'CS 6'!$H$44+(I20)*'CS 6'!$O$44*'CS 6'!$R$44/1000000)/2000))</f>
        <v>42.613239757320002</v>
      </c>
      <c r="J23" s="514">
        <f>((((J16)*'CS 5'!$E$44*'CS 5'!$H$44+(J17)*'CS 5'!$O$44*'CS 5'!$R$44/1000000)/2000))+((((J19)*'CS 6'!$E$44*'CS 6'!$H$44+(J20)*'CS 6'!$O$44*'CS 6'!$R$44/1000000)/2000))</f>
        <v>24.028223794199999</v>
      </c>
      <c r="K23" s="514">
        <f>((((K16)*'CS 5'!$E$44*'CS 5'!$H$44+(K17)*'CS 5'!$O$44*'CS 5'!$R$44/1000000)/2000))+((((K19)*'CS 6'!$E$44*'CS 6'!$H$44+(K20)*'CS 6'!$O$44*'CS 6'!$R$44/1000000)/2000))</f>
        <v>19.587038760000002</v>
      </c>
      <c r="L23" s="514">
        <f>((((L16)*'CS 5'!$E$44*'CS 5'!$H$44+(L17)*'CS 5'!$O$44*'CS 5'!$R$44/1000000)/2000))+((((L19)*'CS 6'!$E$44*'CS 6'!$H$44+(L20)*'CS 6'!$O$44*'CS 6'!$R$44/1000000)/2000))</f>
        <v>45.093559162319998</v>
      </c>
      <c r="M23" s="514">
        <f>((((M16)*'CS 5'!$E$44*'CS 5'!$H$44+(M17)*'CS 5'!$O$44*'CS 5'!$R$44/1000000)/2000))+((((M19)*'CS 6'!$E$44*'CS 6'!$H$44+(M20)*'CS 6'!$O$44*'CS 6'!$R$44/1000000)/2000))</f>
        <v>30.805641249840001</v>
      </c>
      <c r="N23" s="514">
        <f>((((N16)*'CS 5'!$E$44*'CS 5'!$H$44+(N17)*'CS 5'!$O$44*'CS 5'!$R$44/1000000)/2000))+((((N19)*'CS 6'!$E$44*'CS 6'!$H$44+(N20)*'CS 6'!$O$44*'CS 6'!$R$44/1000000)/2000))</f>
        <v>49.372616557800001</v>
      </c>
      <c r="O23" s="532">
        <f t="shared" si="11"/>
        <v>417.27968636792002</v>
      </c>
    </row>
    <row r="24" spans="1:15" ht="21.75" customHeight="1" x14ac:dyDescent="0.2">
      <c r="A24" s="513" t="s">
        <v>40</v>
      </c>
      <c r="B24" s="513" t="s">
        <v>96</v>
      </c>
      <c r="C24" s="514">
        <f>((((C16)*'CS 5'!$E$50*'CS 5'!$H$50+(C17)*'CS 5'!$O$50*'CS 5'!$R$50/1000000)/2000))+((((C19)*'CS 6'!$E$50*'CS 6'!$H$50+(C20)*'CS 6'!$O$50*'CS 6'!$R$50/1000000)/2000))</f>
        <v>30.221588323500001</v>
      </c>
      <c r="D24" s="514">
        <f>((((D16)*'CS 5'!$E$50*'CS 5'!$H$50+(D17)*'CS 5'!$O$50*'CS 5'!$R$50/1000000)/2000))+((((D19)*'CS 6'!$E$50*'CS 6'!$H$50+(D20)*'CS 6'!$O$50*'CS 6'!$R$50/1000000)/2000))</f>
        <v>29.829733342499999</v>
      </c>
      <c r="E24" s="514">
        <f>((((E16)*'CS 5'!$E$50*'CS 5'!$H$50+(E17)*'CS 5'!$O$50*'CS 5'!$R$50/1000000)/2000))+((((E19)*'CS 6'!$E$50*'CS 6'!$H$50+(E20)*'CS 6'!$O$50*'CS 6'!$R$50/1000000)/2000))</f>
        <v>14.665477224</v>
      </c>
      <c r="F24" s="514">
        <f>((((F16)*'CS 5'!$E$50*'CS 5'!$H$50+(F17)*'CS 5'!$O$50*'CS 5'!$R$50/1000000)/2000))+((((F19)*'CS 6'!$E$50*'CS 6'!$H$50+(F20)*'CS 6'!$O$50*'CS 6'!$R$50/1000000)/2000))</f>
        <v>12.868322923799999</v>
      </c>
      <c r="G24" s="514">
        <f>((((G16)*'CS 5'!$E$50*'CS 5'!$H$50+(G17)*'CS 5'!$O$50*'CS 5'!$R$50/1000000)/2000))+((((G19)*'CS 6'!$E$50*'CS 6'!$H$50+(G20)*'CS 6'!$O$50*'CS 6'!$R$50/1000000)/2000))</f>
        <v>36.605764475999997</v>
      </c>
      <c r="H24" s="514">
        <f>((((H16)*'CS 5'!$E$50*'CS 5'!$H$50+(H17)*'CS 5'!$O$50*'CS 5'!$R$50/1000000)/2000))+((((H19)*'CS 6'!$E$50*'CS 6'!$H$50+(H20)*'CS 6'!$O$50*'CS 6'!$R$50/1000000)/2000))</f>
        <v>50.305073322663006</v>
      </c>
      <c r="I24" s="514">
        <f>((((I16)*'CS 5'!$E$50*'CS 5'!$H$50+(I17)*'CS 5'!$O$50*'CS 5'!$R$50/1000000)/2000))+((((I19)*'CS 6'!$E$50*'CS 6'!$H$50+(I20)*'CS 6'!$O$50*'CS 6'!$R$50/1000000)/2000))</f>
        <v>36.042020203500002</v>
      </c>
      <c r="J24" s="514">
        <f>((((J16)*'CS 5'!$E$50*'CS 5'!$H$50+(J17)*'CS 5'!$O$50*'CS 5'!$R$50/1000000)/2000))+((((J19)*'CS 6'!$E$50*'CS 6'!$H$50+(J20)*'CS 6'!$O$50*'CS 6'!$R$50/1000000)/2000))</f>
        <v>21.492981931499997</v>
      </c>
      <c r="K24" s="514">
        <f>((((K16)*'CS 5'!$E$50*'CS 5'!$H$50+(K17)*'CS 5'!$O$50*'CS 5'!$R$50/1000000)/2000))+((((K19)*'CS 6'!$E$50*'CS 6'!$H$50+(K20)*'CS 6'!$O$50*'CS 6'!$R$50/1000000)/2000))</f>
        <v>17.847578874</v>
      </c>
      <c r="L24" s="514">
        <f>((((L16)*'CS 5'!$E$50*'CS 5'!$H$50+(L17)*'CS 5'!$O$50*'CS 5'!$R$50/1000000)/2000))+((((L19)*'CS 6'!$E$50*'CS 6'!$H$50+(L20)*'CS 6'!$O$50*'CS 6'!$R$50/1000000)/2000))</f>
        <v>38.954612537999999</v>
      </c>
      <c r="M24" s="514">
        <f>((((M16)*'CS 5'!$E$50*'CS 5'!$H$50+(M17)*'CS 5'!$O$50*'CS 5'!$R$50/1000000)/2000))+((((M19)*'CS 6'!$E$50*'CS 6'!$H$50+(M20)*'CS 6'!$O$50*'CS 6'!$R$50/1000000)/2000))</f>
        <v>26.722618213499999</v>
      </c>
      <c r="N24" s="514">
        <f>((((N16)*'CS 5'!$E$50*'CS 5'!$H$50+(N17)*'CS 5'!$O$50*'CS 5'!$R$50/1000000)/2000))+((((N19)*'CS 6'!$E$50*'CS 6'!$H$50+(N20)*'CS 6'!$O$50*'CS 6'!$R$50/1000000)/2000))</f>
        <v>41.358428200500001</v>
      </c>
      <c r="O24" s="532">
        <f t="shared" si="11"/>
        <v>356.91419957346301</v>
      </c>
    </row>
    <row r="25" spans="1:15" ht="21.75" customHeight="1" x14ac:dyDescent="0.2">
      <c r="A25" s="513" t="s">
        <v>377</v>
      </c>
      <c r="B25" s="513" t="s">
        <v>96</v>
      </c>
      <c r="C25" s="514">
        <f>((((C16)*((157)*C18)/'CS 5'!$H$57+(C17)*'CS 5'!$O$56*'CS 5'!$R$56/1000000)/2000))+((((C19)*((157)*C21)/'CS 6'!$H$57+(C20)*'CS 6'!$O$56*'CS 6'!$R$56/1000000)/2000))</f>
        <v>335.07797250409999</v>
      </c>
      <c r="D25" s="514">
        <f>((((D16)*((157)*D18)/'CS 5'!$H$57+(D17)*'CS 5'!$O$56*'CS 5'!$R$56/1000000)/2000))+((((D19)*((157)*D21)/'CS 6'!$H$57+(D20)*'CS 6'!$O$56*'CS 6'!$R$56/1000000)/2000))</f>
        <v>351.33705224800002</v>
      </c>
      <c r="E25" s="514">
        <f>((((E16)*((157)*E18)/'CS 5'!$H$57+(E17)*'CS 5'!$O$56*'CS 5'!$R$56/1000000)/2000))+((((E19)*((157)*E21)/'CS 6'!$H$57+(E20)*'CS 6'!$O$56*'CS 6'!$R$56/1000000)/2000))</f>
        <v>136.87366793559997</v>
      </c>
      <c r="F25" s="514">
        <f>((((F16)*((157)*F18)/'CS 5'!$H$57+(F17)*'CS 5'!$O$56*'CS 5'!$R$56/1000000)/2000))+((((F19)*((157)*F21)/'CS 6'!$H$57+(F20)*'CS 6'!$O$56*'CS 6'!$R$56/1000000)/2000))</f>
        <v>103.90796228496001</v>
      </c>
      <c r="G25" s="514">
        <f>((((G16)*((157)*G18)/'CS 5'!$H$57+(G17)*'CS 5'!$O$56*'CS 5'!$R$56/1000000)/2000))+((((G19)*((157)*G21)/'CS 6'!$H$57+(G20)*'CS 6'!$O$56*'CS 6'!$R$56/1000000)/2000))</f>
        <v>439.41037725719997</v>
      </c>
      <c r="H25" s="514">
        <f>((((H16)*((157)*H18)/'CS 5'!$H$57+(H17)*'CS 5'!$O$56*'CS 5'!$R$56/1000000)/2000))+((((H19)*((157)*H21)/'CS 6'!$H$57+(H20)*'CS 6'!$O$56*'CS 6'!$R$56/1000000)/2000))</f>
        <v>684.97979806515355</v>
      </c>
      <c r="I25" s="514">
        <f>((((I16)*((157)*I18)/'CS 5'!$H$57+(I17)*'CS 5'!$O$56*'CS 5'!$R$56/1000000)/2000))+((((I19)*((157)*I21)/'CS 6'!$H$57+(I20)*'CS 6'!$O$56*'CS 6'!$R$56/1000000)/2000))</f>
        <v>438.1382612031</v>
      </c>
      <c r="J25" s="514">
        <f>((((J16)*((157)*J18)/'CS 5'!$H$57+(J17)*'CS 5'!$O$56*'CS 5'!$R$56/1000000)/2000))+((((J19)*((157)*J21)/'CS 6'!$H$57+(J20)*'CS 6'!$O$56*'CS 6'!$R$56/1000000)/2000))</f>
        <v>104.13269092109999</v>
      </c>
      <c r="K25" s="514">
        <f>((((K16)*((157)*K18)/'CS 5'!$H$57+(K17)*'CS 5'!$O$56*'CS 5'!$R$56/1000000)/2000))+((((K19)*((157)*K21)/'CS 6'!$H$57+(K20)*'CS 6'!$O$56*'CS 6'!$R$56/1000000)/2000))</f>
        <v>44.920458223599994</v>
      </c>
      <c r="L25" s="514">
        <f>((((L16)*((157)*L18)/'CS 5'!$H$57+(L17)*'CS 5'!$O$56*'CS 5'!$R$56/1000000)/2000))+((((L19)*((157)*L21)/'CS 6'!$H$57+(L20)*'CS 6'!$O$56*'CS 6'!$R$56/1000000)/2000))</f>
        <v>364.12027574639995</v>
      </c>
      <c r="M25" s="514">
        <f>((((M16)*((157)*M18)/'CS 5'!$H$57+(M17)*'CS 5'!$O$56*'CS 5'!$R$56/1000000)/2000))+((((M19)*((157)*M21)/'CS 6'!$H$57+(M20)*'CS 6'!$O$56*'CS 6'!$R$56/1000000)/2000))</f>
        <v>235.21523858729995</v>
      </c>
      <c r="N25" s="514">
        <f>((((N16)*((157)*N18)/'CS 5'!$H$57+(N17)*'CS 5'!$O$56*'CS 5'!$R$56/1000000)/2000))+((((N19)*((157)*N21)/'CS 6'!$H$57+(N20)*'CS 6'!$O$56*'CS 6'!$R$56/1000000)/2000))</f>
        <v>533.98034871710001</v>
      </c>
      <c r="O25" s="532">
        <f t="shared" si="11"/>
        <v>3772.0941036936129</v>
      </c>
    </row>
    <row r="26" spans="1:15" ht="21.75" customHeight="1" x14ac:dyDescent="0.2">
      <c r="A26" s="513" t="s">
        <v>20</v>
      </c>
      <c r="B26" s="513" t="s">
        <v>96</v>
      </c>
      <c r="C26" s="514">
        <f>((((C16)*'CS 5'!$E$20*'CS 5'!$H$20+(C17)*'CS 5'!$O$20*'CS 5'!$R$20/1000000)/2000))+((((C19)*'CS 6'!$E$20*'CS 6'!$H$20+(C20)*'CS 6'!$O$20*'CS 6'!$R$20/1000000)/2000))</f>
        <v>643.96142534499995</v>
      </c>
      <c r="D26" s="514">
        <f>((((D16)*'CS 5'!$E$20*'CS 5'!$H$20+(D17)*'CS 5'!$O$20*'CS 5'!$R$20/1000000)/2000))+((((D19)*'CS 6'!$E$20*'CS 6'!$H$20+(D20)*'CS 6'!$O$20*'CS 6'!$R$20/1000000)/2000))</f>
        <v>568.706131175</v>
      </c>
      <c r="E26" s="514">
        <f>((((E16)*'CS 5'!$E$20*'CS 5'!$H$20+(E17)*'CS 5'!$O$20*'CS 5'!$R$20/1000000)/2000))+((((E19)*'CS 6'!$E$20*'CS 6'!$H$20+(E20)*'CS 6'!$O$20*'CS 6'!$R$20/1000000)/2000))</f>
        <v>374.30956850000001</v>
      </c>
      <c r="F26" s="514">
        <f>((((F16)*'CS 5'!$E$20*'CS 5'!$H$20+(F17)*'CS 5'!$O$20*'CS 5'!$R$20/1000000)/2000))+((((F19)*'CS 6'!$E$20*'CS 6'!$H$20+(F20)*'CS 6'!$O$20*'CS 6'!$R$20/1000000)/2000))</f>
        <v>362.31344538899998</v>
      </c>
      <c r="G26" s="514">
        <f>((((G16)*'CS 5'!$E$20*'CS 5'!$H$20+(G17)*'CS 5'!$O$20*'CS 5'!$R$20/1000000)/2000))+((((G19)*'CS 6'!$E$20*'CS 6'!$H$20+(G20)*'CS 6'!$O$20*'CS 6'!$R$20/1000000)/2000))</f>
        <v>699.38647337999987</v>
      </c>
      <c r="H26" s="514">
        <f>((((H16)*'CS 5'!$E$20*'CS 5'!$H$20+(H17)*'CS 5'!$O$20*'CS 5'!$R$20/1000000)/2000))+((((H19)*'CS 6'!$E$20*'CS 6'!$H$20+(H20)*'CS 6'!$O$20*'CS 6'!$R$20/1000000)/2000))</f>
        <v>766.20178883094002</v>
      </c>
      <c r="I26" s="514">
        <f>((((I16)*'CS 5'!$E$20*'CS 5'!$H$20+(I17)*'CS 5'!$O$20*'CS 5'!$R$20/1000000)/2000))+((((I19)*'CS 6'!$E$20*'CS 6'!$H$20+(I20)*'CS 6'!$O$20*'CS 6'!$R$20/1000000)/2000))</f>
        <v>675.41256079499999</v>
      </c>
      <c r="J26" s="514">
        <f>((((J16)*'CS 5'!$E$20*'CS 5'!$H$20+(J17)*'CS 5'!$O$20*'CS 5'!$R$20/1000000)/2000))+((((J19)*'CS 6'!$E$20*'CS 6'!$H$20+(J20)*'CS 6'!$O$20*'CS 6'!$R$20/1000000)/2000))</f>
        <v>780.34391137499995</v>
      </c>
      <c r="K26" s="514">
        <f>((((K16)*'CS 5'!$E$20*'CS 5'!$H$20+(K17)*'CS 5'!$O$20*'CS 5'!$R$20/1000000)/2000))+((((K19)*'CS 6'!$E$20*'CS 6'!$H$20+(K20)*'CS 6'!$O$20*'CS 6'!$R$20/1000000)/2000))</f>
        <v>747.82560230000001</v>
      </c>
      <c r="L26" s="514">
        <f>((((L16)*'CS 5'!$E$20*'CS 5'!$H$20+(L17)*'CS 5'!$O$20*'CS 5'!$R$20/1000000)/2000))+((((L19)*'CS 6'!$E$20*'CS 6'!$H$20+(L20)*'CS 6'!$O$20*'CS 6'!$R$20/1000000)/2000))</f>
        <v>992.91233832</v>
      </c>
      <c r="M26" s="514">
        <f>((((M16)*'CS 5'!$E$20*'CS 5'!$H$20+(M17)*'CS 5'!$O$20*'CS 5'!$R$20/1000000)/2000))+((((M19)*'CS 6'!$E$20*'CS 6'!$H$20+(M20)*'CS 6'!$O$20*'CS 6'!$R$20/1000000)/2000))</f>
        <v>716.13713146500004</v>
      </c>
      <c r="N26" s="514">
        <f>((((N16)*'CS 5'!$E$20*'CS 5'!$H$20+(N17)*'CS 5'!$O$20*'CS 5'!$R$20/1000000)/2000))+((((N19)*'CS 6'!$E$20*'CS 6'!$H$20+(N20)*'CS 6'!$O$20*'CS 6'!$R$20/1000000)/2000))</f>
        <v>645.75682202499991</v>
      </c>
      <c r="O26" s="532">
        <f t="shared" si="11"/>
        <v>7973.2671988999409</v>
      </c>
    </row>
    <row r="27" spans="1:15" ht="21.75" customHeight="1" x14ac:dyDescent="0.2">
      <c r="A27" s="513" t="s">
        <v>22</v>
      </c>
      <c r="B27" s="513" t="s">
        <v>96</v>
      </c>
      <c r="C27" s="514">
        <f>((((C16)*'CS 5'!$E$32*'CS 5'!$H$32+(C17)*'CS 5'!$O$32*'CS 5'!$R$32/1000000)/2000))+((((C19)*'CS 6'!$E$32*'CS 6'!$H$32+(C20)*'CS 6'!$O$32*'CS 6'!$R$32/1000000)/2000))</f>
        <v>1.79391996511</v>
      </c>
      <c r="D27" s="514">
        <f>((((D16)*'CS 5'!$E$32*'CS 5'!$H$32+(D17)*'CS 5'!$O$32*'CS 5'!$R$32/1000000)/2000))+((((D19)*'CS 6'!$E$32*'CS 6'!$H$32+(D20)*'CS 6'!$O$32*'CS 6'!$R$32/1000000)/2000))</f>
        <v>1.6458443046499998</v>
      </c>
      <c r="E27" s="514">
        <f>((((E16)*'CS 5'!$E$32*'CS 5'!$H$32+(E17)*'CS 5'!$O$32*'CS 5'!$R$32/1000000)/2000))+((((E19)*'CS 6'!$E$32*'CS 6'!$H$32+(E20)*'CS 6'!$O$32*'CS 6'!$R$32/1000000)/2000))</f>
        <v>0.98585017699999999</v>
      </c>
      <c r="F27" s="514">
        <f>((((F16)*'CS 5'!$E$32*'CS 5'!$H$32+(F17)*'CS 5'!$O$32*'CS 5'!$R$32/1000000)/2000))+((((F19)*'CS 6'!$E$32*'CS 6'!$H$32+(F20)*'CS 6'!$O$32*'CS 6'!$R$32/1000000)/2000))</f>
        <v>0.928232535282</v>
      </c>
      <c r="G27" s="514">
        <f>((((G16)*'CS 5'!$E$32*'CS 5'!$H$32+(G17)*'CS 5'!$O$32*'CS 5'!$R$32/1000000)/2000))+((((G19)*'CS 6'!$E$32*'CS 6'!$H$32+(G20)*'CS 6'!$O$32*'CS 6'!$R$32/1000000)/2000))</f>
        <v>2.0224978784400003</v>
      </c>
      <c r="H27" s="514">
        <f>((((H16)*'CS 5'!$E$32*'CS 5'!$H$32+(H17)*'CS 5'!$O$32*'CS 5'!$R$32/1000000)/2000))+((((H19)*'CS 6'!$E$32*'CS 6'!$H$32+(H20)*'CS 6'!$O$32*'CS 6'!$R$32/1000000)/2000))</f>
        <v>2.4157588364707197</v>
      </c>
      <c r="I27" s="514">
        <f>((((I16)*'CS 5'!$E$32*'CS 5'!$H$32+(I17)*'CS 5'!$O$32*'CS 5'!$R$32/1000000)/2000))+((((I19)*'CS 6'!$E$32*'CS 6'!$H$32+(I20)*'CS 6'!$O$32*'CS 6'!$R$32/1000000)/2000))</f>
        <v>1.9667196272100003</v>
      </c>
      <c r="J27" s="514">
        <f>((((J16)*'CS 5'!$E$32*'CS 5'!$H$32+(J17)*'CS 5'!$O$32*'CS 5'!$R$32/1000000)/2000))+((((J19)*'CS 6'!$E$32*'CS 6'!$H$32+(J20)*'CS 6'!$O$32*'CS 6'!$R$32/1000000)/2000))</f>
        <v>1.8771986512500001</v>
      </c>
      <c r="K27" s="514">
        <f>((((K16)*'CS 5'!$E$32*'CS 5'!$H$32+(K17)*'CS 5'!$O$32*'CS 5'!$R$32/1000000)/2000))+((((K19)*'CS 6'!$E$32*'CS 6'!$H$32+(K20)*'CS 6'!$O$32*'CS 6'!$R$32/1000000)/2000))</f>
        <v>1.7450557514000002</v>
      </c>
      <c r="L27" s="514">
        <f>((((L16)*'CS 5'!$E$32*'CS 5'!$H$32+(L17)*'CS 5'!$O$32*'CS 5'!$R$32/1000000)/2000))+((((L19)*'CS 6'!$E$32*'CS 6'!$H$32+(L20)*'CS 6'!$O$32*'CS 6'!$R$32/1000000)/2000))</f>
        <v>2.6161397901600001</v>
      </c>
      <c r="M27" s="514">
        <f>((((M16)*'CS 5'!$E$32*'CS 5'!$H$32+(M17)*'CS 5'!$O$32*'CS 5'!$R$32/1000000)/2000))+((((M19)*'CS 6'!$E$32*'CS 6'!$H$32+(M20)*'CS 6'!$O$32*'CS 6'!$R$32/1000000)/2000))</f>
        <v>1.8599598236700001</v>
      </c>
      <c r="N27" s="514">
        <f>((((N16)*'CS 5'!$E$32*'CS 5'!$H$32+(N17)*'CS 5'!$O$32*'CS 5'!$R$32/1000000)/2000))+((((N19)*'CS 6'!$E$32*'CS 6'!$H$32+(N20)*'CS 6'!$O$32*'CS 6'!$R$32/1000000)/2000))</f>
        <v>2.0156387699499998</v>
      </c>
      <c r="O27" s="532">
        <f t="shared" si="11"/>
        <v>21.872816110592716</v>
      </c>
    </row>
    <row r="28" spans="1:15" ht="21.75" customHeight="1" x14ac:dyDescent="0.2">
      <c r="A28" s="513" t="s">
        <v>21</v>
      </c>
      <c r="B28" s="513" t="s">
        <v>96</v>
      </c>
      <c r="C28" s="514">
        <f>((((C16)*'CS 5'!$E$26*'CS 5'!$H$26+(C17)*'CS 5'!$O$26*'CS 5'!$R$26/1000000)/2000))+((((C19)*'CS 6'!$E$26*'CS 6'!$H$26+(C20)*'CS 6'!$O$26*'CS 6'!$R$26/1000000)/2000))</f>
        <v>13.210123468499999</v>
      </c>
      <c r="D28" s="514">
        <f>((((D16)*'CS 5'!$E$26*'CS 5'!$H$26+(D17)*'CS 5'!$O$26*'CS 5'!$R$26/1000000)/2000))+((((D19)*'CS 6'!$E$26*'CS 6'!$H$26+(D20)*'CS 6'!$O$26*'CS 6'!$R$26/1000000)/2000))</f>
        <v>11.0260483515</v>
      </c>
      <c r="E28" s="514">
        <f>((((E16)*'CS 5'!$E$26*'CS 5'!$H$26+(E17)*'CS 5'!$O$26*'CS 5'!$R$26/1000000)/2000))+((((E19)*'CS 6'!$E$26*'CS 6'!$H$26+(E20)*'CS 6'!$O$26*'CS 6'!$R$26/1000000)/2000))</f>
        <v>8.2701345203999992</v>
      </c>
      <c r="F28" s="514">
        <f>((((F16)*'CS 5'!$E$26*'CS 5'!$H$26+(F17)*'CS 5'!$O$26*'CS 5'!$R$26/1000000)/2000))+((((F19)*'CS 6'!$E$26*'CS 6'!$H$26+(F20)*'CS 6'!$O$26*'CS 6'!$R$26/1000000)/2000))</f>
        <v>8.2757212734600003</v>
      </c>
      <c r="G28" s="514">
        <f>((((G16)*'CS 5'!$E$26*'CS 5'!$H$26+(G17)*'CS 5'!$O$26*'CS 5'!$R$26/1000000)/2000))+((((G19)*'CS 6'!$E$26*'CS 6'!$H$26+(G20)*'CS 6'!$O$26*'CS 6'!$R$26/1000000)/2000))</f>
        <v>13.575661261199997</v>
      </c>
      <c r="H28" s="514">
        <f>((((H16)*'CS 5'!$E$26*'CS 5'!$H$26+(H17)*'CS 5'!$O$26*'CS 5'!$R$26/1000000)/2000))+((((H19)*'CS 6'!$E$26*'CS 6'!$H$26+(H20)*'CS 6'!$O$26*'CS 6'!$R$26/1000000)/2000))</f>
        <v>12.7921509079956</v>
      </c>
      <c r="I28" s="514">
        <f>((((I16)*'CS 5'!$E$26*'CS 5'!$H$26+(I17)*'CS 5'!$O$26*'CS 5'!$R$26/1000000)/2000))+((((I19)*'CS 6'!$E$26*'CS 6'!$H$26+(I20)*'CS 6'!$O$26*'CS 6'!$R$26/1000000)/2000))</f>
        <v>12.969388885499999</v>
      </c>
      <c r="J28" s="514">
        <f>((((J16)*'CS 5'!$E$26*'CS 5'!$H$26+(J17)*'CS 5'!$O$26*'CS 5'!$R$26/1000000)/2000))+((((J19)*'CS 6'!$E$26*'CS 6'!$H$26+(J20)*'CS 6'!$O$26*'CS 6'!$R$26/1000000)/2000))</f>
        <v>19.093009869899998</v>
      </c>
      <c r="K28" s="514">
        <f>((((K16)*'CS 5'!$E$26*'CS 5'!$H$26+(K17)*'CS 5'!$O$26*'CS 5'!$R$26/1000000)/2000))+((((K19)*'CS 6'!$E$26*'CS 6'!$H$26+(K20)*'CS 6'!$O$26*'CS 6'!$R$26/1000000)/2000))</f>
        <v>18.858104276399999</v>
      </c>
      <c r="L28" s="514">
        <f>((((L16)*'CS 5'!$E$26*'CS 5'!$H$26+(L17)*'CS 5'!$O$26*'CS 5'!$R$26/1000000)/2000))+((((L19)*'CS 6'!$E$26*'CS 6'!$H$26+(L20)*'CS 6'!$O$26*'CS 6'!$R$26/1000000)/2000))</f>
        <v>21.9271224672</v>
      </c>
      <c r="M28" s="514">
        <f>((((M16)*'CS 5'!$E$26*'CS 5'!$H$26+(M17)*'CS 5'!$O$26*'CS 5'!$R$26/1000000)/2000))+((((M19)*'CS 6'!$E$26*'CS 6'!$H$26+(M20)*'CS 6'!$O$26*'CS 6'!$R$26/1000000)/2000))</f>
        <v>16.094975310900001</v>
      </c>
      <c r="N28" s="514">
        <f>((((N16)*'CS 5'!$E$26*'CS 5'!$H$26+(N17)*'CS 5'!$O$26*'CS 5'!$R$26/1000000)/2000))+((((N19)*'CS 6'!$E$26*'CS 6'!$H$26+(N20)*'CS 6'!$O$26*'CS 6'!$R$26/1000000)/2000))</f>
        <v>10.993094385300001</v>
      </c>
      <c r="O28" s="532">
        <f t="shared" si="11"/>
        <v>167.08553497825559</v>
      </c>
    </row>
    <row r="29" spans="1:15" ht="21.75" customHeight="1" x14ac:dyDescent="0.2">
      <c r="A29" s="513" t="s">
        <v>42</v>
      </c>
      <c r="B29" s="513" t="s">
        <v>96</v>
      </c>
      <c r="C29" s="514">
        <f>((((C16)*'CS 5'!$E$62*'CS 5'!$H$62+(C17)*'CS 5'!$O$62*'CS 5'!$R$62/1000000)/2000))+((((C19)*'CS 6'!$E$62*'CS 6'!$H$62+(C20)*'CS 6'!$O$62*'CS 6'!$R$62/1000000)/2000))</f>
        <v>15.062553184720999</v>
      </c>
      <c r="D29" s="514">
        <f>((((D16)*'CS 5'!$E$62*'CS 5'!$H$62+(D17)*'CS 5'!$O$62*'CS 5'!$R$62/1000000)/2000))+((((D19)*'CS 6'!$E$62*'CS 6'!$H$62+(D20)*'CS 6'!$O$62*'CS 6'!$R$62/1000000)/2000))</f>
        <v>16.030959723414998</v>
      </c>
      <c r="E29" s="514">
        <f>((((E16)*'CS 5'!$E$62*'CS 5'!$H$62+(E17)*'CS 5'!$O$62*'CS 5'!$R$62/1000000)/2000))+((((E19)*'CS 6'!$E$62*'CS 6'!$H$62+(E20)*'CS 6'!$O$62*'CS 6'!$R$62/1000000)/2000))</f>
        <v>6.2341171409799996</v>
      </c>
      <c r="F29" s="514">
        <f>((((F16)*'CS 5'!$E$62*'CS 5'!$H$62+(F17)*'CS 5'!$O$62*'CS 5'!$R$62/1000000)/2000))+((((F19)*'CS 6'!$E$62*'CS 6'!$H$62+(F20)*'CS 6'!$O$62*'CS 6'!$R$62/1000000)/2000))</f>
        <v>4.8810067117121987</v>
      </c>
      <c r="G29" s="514">
        <f>((((G16)*'CS 5'!$E$62*'CS 5'!$H$62+(G17)*'CS 5'!$O$62*'CS 5'!$R$62/1000000)/2000))+((((G19)*'CS 6'!$E$62*'CS 6'!$H$62+(G20)*'CS 6'!$O$62*'CS 6'!$R$62/1000000)/2000))</f>
        <v>19.646504210724</v>
      </c>
      <c r="H29" s="514">
        <f>((((H16)*'CS 5'!$E$62*'CS 5'!$H$62+(H17)*'CS 5'!$O$62*'CS 5'!$R$62/1000000)/2000))+((((H19)*'CS 6'!$E$62*'CS 6'!$H$62+(H20)*'CS 6'!$O$62*'CS 6'!$R$62/1000000)/2000))</f>
        <v>30.389334902118009</v>
      </c>
      <c r="I29" s="514">
        <f>((((I16)*'CS 5'!$E$62*'CS 5'!$H$62+(I17)*'CS 5'!$O$62*'CS 5'!$R$62/1000000)/2000))+((((I19)*'CS 6'!$E$62*'CS 6'!$H$62+(I20)*'CS 6'!$O$62*'CS 6'!$R$62/1000000)/2000))</f>
        <v>19.573584293930999</v>
      </c>
      <c r="J29" s="514">
        <f>((((J16)*'CS 5'!$E$62*'CS 5'!$H$62+(J17)*'CS 5'!$O$62*'CS 5'!$R$62/1000000)/2000))+((((J19)*'CS 6'!$E$62*'CS 6'!$H$62+(J20)*'CS 6'!$O$62*'CS 6'!$R$62/1000000)/2000))</f>
        <v>5.1050846810549988</v>
      </c>
      <c r="K29" s="514">
        <f>((((K16)*'CS 5'!$E$62*'CS 5'!$H$62+(K17)*'CS 5'!$O$62*'CS 5'!$R$62/1000000)/2000))+((((K19)*'CS 6'!$E$62*'CS 6'!$H$62+(K20)*'CS 6'!$O$62*'CS 6'!$R$62/1000000)/2000))</f>
        <v>2.5027579130199999</v>
      </c>
      <c r="L29" s="514">
        <f>((((L16)*'CS 5'!$E$62*'CS 5'!$H$62+(L17)*'CS 5'!$O$62*'CS 5'!$R$62/1000000)/2000))+((((L19)*'CS 6'!$E$62*'CS 6'!$H$62+(L20)*'CS 6'!$O$62*'CS 6'!$R$62/1000000)/2000))</f>
        <v>16.582322465615999</v>
      </c>
      <c r="M29" s="514">
        <f>((((M16)*'CS 5'!$E$62*'CS 5'!$H$62+(M17)*'CS 5'!$O$62*'CS 5'!$R$62/1000000)/2000))+((((M19)*'CS 6'!$E$62*'CS 6'!$H$62+(M20)*'CS 6'!$O$62*'CS 6'!$R$62/1000000)/2000))</f>
        <v>10.766507480216999</v>
      </c>
      <c r="N29" s="514">
        <f>((((N16)*'CS 5'!$E$62*'CS 5'!$H$62+(N17)*'CS 5'!$O$62*'CS 5'!$R$62/1000000)/2000))+((((N19)*'CS 6'!$E$62*'CS 6'!$H$62+(N20)*'CS 6'!$O$62*'CS 6'!$R$62/1000000)/2000))</f>
        <v>24.709457574904995</v>
      </c>
      <c r="O29" s="532">
        <f t="shared" si="11"/>
        <v>171.4841902824142</v>
      </c>
    </row>
    <row r="30" spans="1:15" ht="21.75" customHeight="1" x14ac:dyDescent="0.2">
      <c r="A30" s="513" t="s">
        <v>23</v>
      </c>
      <c r="B30" s="513" t="s">
        <v>96</v>
      </c>
      <c r="C30" s="519">
        <f>((((C16)*'CS 5'!$E$68*'CS 5'!$H$68+(C17)*'CS 5'!$O$68*'CS 5'!$R$68/1000000)/2000))+((((C19)*'CS 6'!$E$68*'CS 6'!$H$68+(C20)*'CS 6'!$O$68*'CS 6'!$R$68/1000000)/2000))</f>
        <v>2.9817953370449997E-3</v>
      </c>
      <c r="D30" s="519">
        <f>((((D16)*'CS 5'!$E$68*'CS 5'!$H$68+(D17)*'CS 5'!$O$68*'CS 5'!$R$68/1000000)/2000))+((((D19)*'CS 6'!$E$68*'CS 6'!$H$68+(D20)*'CS 6'!$O$68*'CS 6'!$R$68/1000000)/2000))</f>
        <v>3.2034467760749998E-3</v>
      </c>
      <c r="E30" s="519">
        <f>((((E16)*'CS 5'!$E$68*'CS 5'!$H$68+(E17)*'CS 5'!$O$68*'CS 5'!$R$68/1000000)/2000))+((((E19)*'CS 6'!$E$68*'CS 6'!$H$68+(E20)*'CS 6'!$O$68*'CS 6'!$R$68/1000000)/2000))</f>
        <v>1.2064432577399999E-3</v>
      </c>
      <c r="F30" s="519">
        <f>((((F16)*'CS 5'!$E$68*'CS 5'!$H$68+(F17)*'CS 5'!$O$68*'CS 5'!$R$68/1000000)/2000))+((((F19)*'CS 6'!$E$68*'CS 6'!$H$68+(F20)*'CS 6'!$O$68*'CS 6'!$R$68/1000000)/2000))</f>
        <v>9.2681040973499986E-4</v>
      </c>
      <c r="G30" s="519">
        <f>((((G16)*'CS 5'!$E$68*'CS 5'!$H$68+(G17)*'CS 5'!$O$68*'CS 5'!$R$68/1000000)/2000))+((((G19)*'CS 6'!$E$68*'CS 6'!$H$68+(G20)*'CS 6'!$O$68*'CS 6'!$R$68/1000000)/2000))</f>
        <v>3.9253160834999993E-3</v>
      </c>
      <c r="H30" s="519">
        <f>((((H16)*'CS 5'!$E$68*'CS 5'!$H$68+(H17)*'CS 5'!$O$68*'CS 5'!$R$68/1000000)/2000))+((((H19)*'CS 6'!$E$68*'CS 6'!$H$68+(H20)*'CS 6'!$O$68*'CS 6'!$R$68/1000000)/2000))</f>
        <v>6.15271867812E-3</v>
      </c>
      <c r="I30" s="519">
        <f>((((I16)*'CS 5'!$E$68*'CS 5'!$H$68+(I17)*'CS 5'!$O$68*'CS 5'!$R$68/1000000)/2000))+((((I19)*'CS 6'!$E$68*'CS 6'!$H$68+(I20)*'CS 6'!$O$68*'CS 6'!$R$68/1000000)/2000))</f>
        <v>3.9162344611949999E-3</v>
      </c>
      <c r="J30" s="519">
        <f>((((J16)*'CS 5'!$E$68*'CS 5'!$H$68+(J17)*'CS 5'!$O$68*'CS 5'!$R$68/1000000)/2000))+((((J19)*'CS 6'!$E$68*'CS 6'!$H$68+(J20)*'CS 6'!$O$68*'CS 6'!$R$68/1000000)/2000))</f>
        <v>8.663232378149999E-4</v>
      </c>
      <c r="K30" s="519">
        <f>((((K16)*'CS 5'!$E$68*'CS 5'!$H$68+(K17)*'CS 5'!$O$68*'CS 5'!$R$68/1000000)/2000))+((((K19)*'CS 6'!$E$68*'CS 6'!$H$68+(K20)*'CS 6'!$O$68*'CS 6'!$R$68/1000000)/2000))</f>
        <v>3.3095322414E-4</v>
      </c>
      <c r="L30" s="519">
        <f>((((L16)*'CS 5'!$E$68*'CS 5'!$H$68+(L17)*'CS 5'!$O$68*'CS 5'!$R$68/1000000)/2000))+((((L19)*'CS 6'!$E$68*'CS 6'!$H$68+(L20)*'CS 6'!$O$68*'CS 6'!$R$68/1000000)/2000))</f>
        <v>3.2097555932399996E-3</v>
      </c>
      <c r="M30" s="519">
        <f>((((M16)*'CS 5'!$E$68*'CS 5'!$H$68+(M17)*'CS 5'!$O$68*'CS 5'!$R$68/1000000)/2000))+((((M19)*'CS 6'!$E$68*'CS 6'!$H$68+(M20)*'CS 6'!$O$68*'CS 6'!$R$68/1000000)/2000))</f>
        <v>2.0656740532049999E-3</v>
      </c>
      <c r="N30" s="519">
        <f>((((N16)*'CS 5'!$E$68*'CS 5'!$H$68+(N17)*'CS 5'!$O$68*'CS 5'!$R$68/1000000)/2000))+((((N19)*'CS 6'!$E$68*'CS 6'!$H$68+(N20)*'CS 6'!$O$68*'CS 6'!$R$68/1000000)/2000))</f>
        <v>4.9969106167049989E-3</v>
      </c>
      <c r="O30" s="533">
        <f t="shared" si="11"/>
        <v>3.3782381728514999E-2</v>
      </c>
    </row>
    <row r="31" spans="1:15" ht="21.75" customHeight="1" x14ac:dyDescent="0.2">
      <c r="A31" s="513" t="s">
        <v>24</v>
      </c>
      <c r="B31" s="513" t="s">
        <v>96</v>
      </c>
      <c r="C31" s="514">
        <f>((((C16)*'CS 5'!$E$74+(C17)*'CS 5'!$O$74)/'CS 5'!$H$75))+((((C19)*'CS 6'!$E$74+(C20)*'CS 6'!$O$74)/'CS 6'!$H$75))</f>
        <v>248541.25216263498</v>
      </c>
      <c r="D31" s="514">
        <f>((((D16)*'CS 5'!$E$74+(D17)*'CS 5'!$O$74)/'CS 5'!$H$75))+((((D19)*'CS 6'!$E$74+(D20)*'CS 6'!$O$74)/'CS 6'!$H$75))</f>
        <v>226259.15416863642</v>
      </c>
      <c r="E31" s="514">
        <f>((((E16)*'CS 5'!$E$74+(E17)*'CS 5'!$O$74)/'CS 5'!$H$75))+((((E19)*'CS 6'!$E$74+(E20)*'CS 6'!$O$74)/'CS 6'!$H$75))</f>
        <v>138218.43200511907</v>
      </c>
      <c r="F31" s="514">
        <f>((((F16)*'CS 5'!$E$74+(F17)*'CS 5'!$O$74)/'CS 5'!$H$75))+((((F19)*'CS 6'!$E$74+(F20)*'CS 6'!$O$74)/'CS 6'!$H$75))</f>
        <v>130930.13880884454</v>
      </c>
      <c r="G31" s="514">
        <f>((((G16)*'CS 5'!$E$74+(G17)*'CS 5'!$O$74)/'CS 5'!$H$75))+((((G19)*'CS 6'!$E$74+(G20)*'CS 6'!$O$74)/'CS 6'!$H$75))</f>
        <v>278081.31657426769</v>
      </c>
      <c r="H31" s="514">
        <f>((((H16)*'CS 5'!$E$74+(H17)*'CS 5'!$O$74)/'CS 5'!$H$75))+((((H19)*'CS 6'!$E$74+(H20)*'CS 6'!$O$74)/'CS 6'!$H$75))</f>
        <v>326622.41626554675</v>
      </c>
      <c r="I31" s="514">
        <f>((((I16)*'CS 5'!$E$74+(I17)*'CS 5'!$O$74)/'CS 5'!$H$75))+((((I19)*'CS 6'!$E$74+(I20)*'CS 6'!$O$74)/'CS 6'!$H$75))</f>
        <v>270037.57290065847</v>
      </c>
      <c r="J31" s="514">
        <f>((((J16)*'CS 5'!$E$74+(J17)*'CS 5'!$O$74)/'CS 5'!$H$75))+((((J19)*'CS 6'!$E$74+(J20)*'CS 6'!$O$74)/'CS 6'!$H$75))</f>
        <v>268591.90508993663</v>
      </c>
      <c r="K31" s="514">
        <f>((((K16)*'CS 5'!$E$74+(K17)*'CS 5'!$O$74)/'CS 5'!$H$75))+((((K19)*'CS 6'!$E$74+(K20)*'CS 6'!$O$74)/'CS 6'!$H$75))</f>
        <v>251476.43462992788</v>
      </c>
      <c r="L31" s="514">
        <f>((((L16)*'CS 5'!$E$74+(L17)*'CS 5'!$O$74)/'CS 5'!$H$75))+((((L19)*'CS 6'!$E$74+(L20)*'CS 6'!$O$74)/'CS 6'!$H$75))</f>
        <v>366757.65029890323</v>
      </c>
      <c r="M31" s="514">
        <f>((((M16)*'CS 5'!$E$74+(M17)*'CS 5'!$O$74)/'CS 5'!$H$75))+((((M19)*'CS 6'!$E$74+(M20)*'CS 6'!$O$74)/'CS 6'!$H$75))</f>
        <v>261565.50355358492</v>
      </c>
      <c r="N31" s="514">
        <f>((((N16)*'CS 5'!$E$74+(N17)*'CS 5'!$O$74)/'CS 5'!$H$75))+((((N19)*'CS 6'!$E$74+(N20)*'CS 6'!$O$74)/'CS 6'!$H$75))</f>
        <v>273040.66998280282</v>
      </c>
      <c r="O31" s="532">
        <f t="shared" si="11"/>
        <v>3040122.4464408634</v>
      </c>
    </row>
    <row r="32" spans="1:15" ht="31.5" customHeight="1" x14ac:dyDescent="0.2">
      <c r="A32" s="609" t="s">
        <v>387</v>
      </c>
      <c r="B32" s="609"/>
      <c r="C32" s="525"/>
      <c r="D32" s="525"/>
      <c r="E32" s="525"/>
      <c r="F32" s="525"/>
      <c r="G32" s="525"/>
      <c r="H32" s="525"/>
      <c r="I32" s="525"/>
      <c r="J32" s="525"/>
      <c r="K32" s="525"/>
      <c r="L32" s="525"/>
      <c r="M32" s="525"/>
      <c r="N32" s="525"/>
      <c r="O32" s="525"/>
    </row>
    <row r="33" spans="1:15" ht="21.75" hidden="1" customHeight="1" x14ac:dyDescent="0.2">
      <c r="A33" s="513" t="s">
        <v>88</v>
      </c>
      <c r="B33" s="513" t="s">
        <v>94</v>
      </c>
      <c r="C33" s="526">
        <f>SUM('Costa Sur'!$B$24,'Costa Sur'!$C$24)</f>
        <v>43260</v>
      </c>
      <c r="D33" s="526">
        <f>SUM('Costa Sur'!$B$25,'Costa Sur'!$C$25)</f>
        <v>121656</v>
      </c>
      <c r="E33" s="526">
        <f>SUM('Costa Sur'!$B$26,'Costa Sur'!$C$26)</f>
        <v>3539</v>
      </c>
      <c r="F33" s="526">
        <f>SUM('Costa Sur'!$B$27,'Costa Sur'!$C$27)</f>
        <v>0</v>
      </c>
      <c r="G33" s="526">
        <f>SUM('Costa Sur'!$B$28,'Costa Sur'!$C$28)</f>
        <v>0</v>
      </c>
      <c r="H33" s="526">
        <f>SUM('Costa Sur'!$B$29,'Costa Sur'!$C$29)</f>
        <v>0</v>
      </c>
      <c r="I33" s="526">
        <f>SUM('Costa Sur'!$B$30,'Costa Sur'!$C$30)</f>
        <v>0</v>
      </c>
      <c r="J33" s="526">
        <f>SUM('Costa Sur'!$B$31,'Costa Sur'!$C$31)</f>
        <v>0</v>
      </c>
      <c r="K33" s="526">
        <f>SUM('Costa Sur'!$B$32,'Costa Sur'!$C$32)</f>
        <v>0</v>
      </c>
      <c r="L33" s="526">
        <f>SUM('Costa Sur'!$B$33,'Costa Sur'!$C$33)</f>
        <v>0</v>
      </c>
      <c r="M33" s="526">
        <f>SUM('Costa Sur'!$B$34,'Costa Sur'!$C$34)</f>
        <v>0</v>
      </c>
      <c r="N33" s="526">
        <f>SUM('Costa Sur'!$B$35,'Costa Sur'!$C$35)</f>
        <v>0</v>
      </c>
      <c r="O33" s="527">
        <f>SUM(C33:N33)</f>
        <v>168455</v>
      </c>
    </row>
    <row r="34" spans="1:15" ht="21.75" hidden="1" customHeight="1" x14ac:dyDescent="0.2">
      <c r="A34" s="513" t="s">
        <v>388</v>
      </c>
      <c r="B34" s="513" t="s">
        <v>383</v>
      </c>
      <c r="C34" s="530">
        <f>IF(C33=0,0,('Costa Sur'!$B$24*'Costa Sur'!$D$24+'Costa Sur'!$C$24*'Costa Sur'!$E$24)/C33)</f>
        <v>1E-3</v>
      </c>
      <c r="D34" s="530">
        <f>IF(D33=0,0,('Costa Sur'!$B$25*'Costa Sur'!$D$25+'Costa Sur'!$C$25*'Costa Sur'!$E$25)/D33)</f>
        <v>8.0000000000000002E-3</v>
      </c>
      <c r="E34" s="530">
        <f>IF(E33=0,0,('Costa Sur'!$B$26*'Costa Sur'!$D$26+'Costa Sur'!$C$26*'Costa Sur'!$E$26)/E33)</f>
        <v>1E-3</v>
      </c>
      <c r="F34" s="530">
        <f>IF(F33=0,0,('Costa Sur'!$B$27*'Costa Sur'!$D$27+'Costa Sur'!$C$27*'Costa Sur'!$E$27)/F33)</f>
        <v>0</v>
      </c>
      <c r="G34" s="530">
        <f>IF(G33=0,0,('Costa Sur'!$B$28*'Costa Sur'!$D$28+'Costa Sur'!$C$28*'Costa Sur'!$E$28)/G33)</f>
        <v>0</v>
      </c>
      <c r="H34" s="530">
        <f>IF(H33=0,0,('Costa Sur'!$B$29*'Costa Sur'!$D$29+'Costa Sur'!$C$29*'Costa Sur'!$E$29)/H33)</f>
        <v>0</v>
      </c>
      <c r="I34" s="530">
        <f>IF(I33=0,0,('Costa Sur'!$B$30*'Costa Sur'!$D$30+'Costa Sur'!$C$30*'Costa Sur'!$E$30)/I33)</f>
        <v>0</v>
      </c>
      <c r="J34" s="530">
        <f>IF(J33=0,0,('Costa Sur'!$B$31*'Costa Sur'!$D$31+'Costa Sur'!$C$31*'Costa Sur'!$E$31)/J33)</f>
        <v>0</v>
      </c>
      <c r="K34" s="530">
        <f>IF(K33=0,0,('Costa Sur'!$B$32*'Costa Sur'!$D$32+'Costa Sur'!$C$32*'Costa Sur'!$E$32)/K33)</f>
        <v>0</v>
      </c>
      <c r="L34" s="530">
        <f>IF(L33=0,0,('Costa Sur'!$B$33*'Costa Sur'!$D$33+'Costa Sur'!$C$33*'Costa Sur'!$E$33)/L33)</f>
        <v>0</v>
      </c>
      <c r="M34" s="530">
        <f>IF(M33=0,0,('Costa Sur'!$B$34*'Costa Sur'!$D$34+'Costa Sur'!$C$34*'Costa Sur'!$E$34)/M33)</f>
        <v>0</v>
      </c>
      <c r="N34" s="530">
        <f>IF(N33=0,0,('Costa Sur'!$B$35*'Costa Sur'!$D$35+'Costa Sur'!$C$35*'Costa Sur'!$E$35)/N33)</f>
        <v>0</v>
      </c>
      <c r="O34" s="531">
        <f>IF(O33=0,0,SUMPRODUCT(C34:N34,C33:N33)/O33)</f>
        <v>6.0553085393725324E-3</v>
      </c>
    </row>
    <row r="35" spans="1:15" ht="21.75" customHeight="1" x14ac:dyDescent="0.2">
      <c r="A35" s="513" t="s">
        <v>17</v>
      </c>
      <c r="B35" s="513" t="s">
        <v>96</v>
      </c>
      <c r="C35" s="514">
        <f>('Turbinas CS'!$C$19*(C33)*'Turbinas CS'!$G$19/'Turbinas CS'!$I$20)</f>
        <v>3.5819280000000009E-2</v>
      </c>
      <c r="D35" s="514">
        <f>('Turbinas CS'!$C$19*(D33)*'Turbinas CS'!$G$19/'Turbinas CS'!$I$20)</f>
        <v>0.10073116800000001</v>
      </c>
      <c r="E35" s="514">
        <f>('Turbinas CS'!$C$19*(E33)*'Turbinas CS'!$G$19/'Turbinas CS'!$I$20)</f>
        <v>2.9302920000000006E-3</v>
      </c>
      <c r="F35" s="514">
        <f>('Turbinas CS'!$C$19*(F33)*'Turbinas CS'!$G$19/'Turbinas CS'!$I$20)</f>
        <v>0</v>
      </c>
      <c r="G35" s="514">
        <f>('Turbinas CS'!$C$19*(G33)*'Turbinas CS'!$G$19/'Turbinas CS'!$I$20)</f>
        <v>0</v>
      </c>
      <c r="H35" s="514">
        <f>('Turbinas CS'!$C$19*(H33)*'Turbinas CS'!$G$19/'Turbinas CS'!$I$20)</f>
        <v>0</v>
      </c>
      <c r="I35" s="514">
        <f>('Turbinas CS'!$C$19*(I33)*'Turbinas CS'!$G$19/'Turbinas CS'!$I$20)</f>
        <v>0</v>
      </c>
      <c r="J35" s="514">
        <f>('Turbinas CS'!$C$19*(J33)*'Turbinas CS'!$G$19/'Turbinas CS'!$I$20)</f>
        <v>0</v>
      </c>
      <c r="K35" s="514">
        <f>('Turbinas CS'!$C$19*(K33)*'Turbinas CS'!$G$19/'Turbinas CS'!$I$20)</f>
        <v>0</v>
      </c>
      <c r="L35" s="514">
        <f>('Turbinas CS'!$C$19*(L33)*'Turbinas CS'!$G$19/'Turbinas CS'!$I$20)</f>
        <v>0</v>
      </c>
      <c r="M35" s="514">
        <f>('Turbinas CS'!$C$19*(M33)*'Turbinas CS'!$G$19/'Turbinas CS'!$I$20)</f>
        <v>0</v>
      </c>
      <c r="N35" s="514">
        <f>('Turbinas CS'!$C$19*(N33)*'Turbinas CS'!$G$19/'Turbinas CS'!$I$20)</f>
        <v>0</v>
      </c>
      <c r="O35" s="532">
        <f t="shared" ref="O35:O41" si="12">SUM(C35:N35)</f>
        <v>0.13948074000000002</v>
      </c>
    </row>
    <row r="36" spans="1:15" ht="21.75" customHeight="1" x14ac:dyDescent="0.2">
      <c r="A36" s="513" t="s">
        <v>377</v>
      </c>
      <c r="B36" s="513" t="s">
        <v>96</v>
      </c>
      <c r="C36" s="514">
        <f>((1.01*C34)*((C33))*'Turbinas CS'!$G$28/'Turbinas CS'!$I$29)</f>
        <v>3.0147894000000001E-3</v>
      </c>
      <c r="D36" s="514">
        <f>((1.01*D34)*((D33))*'Turbinas CS'!$G$28/'Turbinas CS'!$I$29)</f>
        <v>6.782565312000001E-2</v>
      </c>
      <c r="E36" s="514">
        <f>((1.01*E34)*((E33))*'Turbinas CS'!$G$28/'Turbinas CS'!$I$29)</f>
        <v>2.4663291000000004E-4</v>
      </c>
      <c r="F36" s="514">
        <f>((1.01*F34)*((F33))*'Turbinas CS'!$G$28/'Turbinas CS'!$I$29)</f>
        <v>0</v>
      </c>
      <c r="G36" s="514">
        <f>((1.01*G34)*((G33))*'Turbinas CS'!$G$28/'Turbinas CS'!$I$29)</f>
        <v>0</v>
      </c>
      <c r="H36" s="514">
        <f>((1.01*H34)*((H33))*'Turbinas CS'!$G$28/'Turbinas CS'!$I$29)</f>
        <v>0</v>
      </c>
      <c r="I36" s="514">
        <f>((1.01*I34)*((I33))*'Turbinas CS'!$G$28/'Turbinas CS'!$I$29)</f>
        <v>0</v>
      </c>
      <c r="J36" s="514">
        <f>((1.01*J34)*((J33))*'Turbinas CS'!$G$28/'Turbinas CS'!$I$29)</f>
        <v>0</v>
      </c>
      <c r="K36" s="514">
        <f>((1.01*K34)*((K33))*'Turbinas CS'!$G$28/'Turbinas CS'!$I$29)</f>
        <v>0</v>
      </c>
      <c r="L36" s="514">
        <f>((1.01*L34)*((L33))*'Turbinas CS'!$G$28/'Turbinas CS'!$I$29)</f>
        <v>0</v>
      </c>
      <c r="M36" s="514">
        <f>((1.01*M34)*((M33))*'Turbinas CS'!$G$28/'Turbinas CS'!$I$29)</f>
        <v>0</v>
      </c>
      <c r="N36" s="514">
        <f>((1.01*N34)*((N33))*'Turbinas CS'!$G$28/'Turbinas CS'!$I$29)</f>
        <v>0</v>
      </c>
      <c r="O36" s="532">
        <f t="shared" si="12"/>
        <v>7.1087075430000007E-2</v>
      </c>
    </row>
    <row r="37" spans="1:15" ht="21.75" customHeight="1" x14ac:dyDescent="0.2">
      <c r="A37" s="513" t="s">
        <v>20</v>
      </c>
      <c r="B37" s="513" t="s">
        <v>96</v>
      </c>
      <c r="C37" s="514">
        <f>('Turbinas CS'!$C$37*((C33))*'Turbinas CS'!$G$37/'Turbinas CS'!$I$38)</f>
        <v>2.6267472000000001</v>
      </c>
      <c r="D37" s="514">
        <f>('Turbinas CS'!$C$37*((D33))*'Turbinas CS'!$G$37/'Turbinas CS'!$I$38)</f>
        <v>7.3869523200000007</v>
      </c>
      <c r="E37" s="514">
        <f>('Turbinas CS'!$C$37*((E33))*'Turbinas CS'!$G$37/'Turbinas CS'!$I$38)</f>
        <v>0.21488808000000004</v>
      </c>
      <c r="F37" s="514">
        <f>('Turbinas CS'!$C$37*((F33))*'Turbinas CS'!$G$37/'Turbinas CS'!$I$38)</f>
        <v>0</v>
      </c>
      <c r="G37" s="514">
        <f>('Turbinas CS'!$C$37*((G33))*'Turbinas CS'!$G$37/'Turbinas CS'!$I$38)</f>
        <v>0</v>
      </c>
      <c r="H37" s="514">
        <f>('Turbinas CS'!$C$37*((H33))*'Turbinas CS'!$G$37/'Turbinas CS'!$I$38)</f>
        <v>0</v>
      </c>
      <c r="I37" s="514">
        <f>('Turbinas CS'!$C$37*((I33))*'Turbinas CS'!$G$37/'Turbinas CS'!$I$38)</f>
        <v>0</v>
      </c>
      <c r="J37" s="514">
        <f>('Turbinas CS'!$C$37*((J33))*'Turbinas CS'!$G$37/'Turbinas CS'!$I$38)</f>
        <v>0</v>
      </c>
      <c r="K37" s="514">
        <f>('Turbinas CS'!$C$37*((K33))*'Turbinas CS'!$G$37/'Turbinas CS'!$I$38)</f>
        <v>0</v>
      </c>
      <c r="L37" s="514">
        <f>('Turbinas CS'!$C$37*((L33))*'Turbinas CS'!$G$37/'Turbinas CS'!$I$38)</f>
        <v>0</v>
      </c>
      <c r="M37" s="514">
        <f>('Turbinas CS'!$C$37*((M33))*'Turbinas CS'!$G$37/'Turbinas CS'!$I$38)</f>
        <v>0</v>
      </c>
      <c r="N37" s="514">
        <f>('Turbinas CS'!$C$37*((N33))*'Turbinas CS'!$G$37/'Turbinas CS'!$I$38)</f>
        <v>0</v>
      </c>
      <c r="O37" s="532">
        <f t="shared" si="12"/>
        <v>10.228587600000001</v>
      </c>
    </row>
    <row r="38" spans="1:15" ht="21.75" customHeight="1" x14ac:dyDescent="0.2">
      <c r="A38" s="513" t="s">
        <v>22</v>
      </c>
      <c r="B38" s="513" t="s">
        <v>96</v>
      </c>
      <c r="C38" s="514">
        <f>('Turbinas CS'!$C$46*((C33))*'Turbinas CS'!$G$46/'Turbinas CS'!$I$47)</f>
        <v>1.2238253999999999E-3</v>
      </c>
      <c r="D38" s="514">
        <f>('Turbinas CS'!$C$46*((D33))*'Turbinas CS'!$G$46/'Turbinas CS'!$I$47)</f>
        <v>3.4416482400000002E-3</v>
      </c>
      <c r="E38" s="514">
        <f>('Turbinas CS'!$C$46*((E33))*'Turbinas CS'!$G$46/'Turbinas CS'!$I$47)</f>
        <v>1.0011831E-4</v>
      </c>
      <c r="F38" s="514">
        <f>('Turbinas CS'!$C$46*((F33))*'Turbinas CS'!$G$46/'Turbinas CS'!$I$47)</f>
        <v>0</v>
      </c>
      <c r="G38" s="514">
        <f>('Turbinas CS'!$C$46*((G33))*'Turbinas CS'!$G$46/'Turbinas CS'!$I$47)</f>
        <v>0</v>
      </c>
      <c r="H38" s="514">
        <f>('Turbinas CS'!$C$46*((H33))*'Turbinas CS'!$G$46/'Turbinas CS'!$I$47)</f>
        <v>0</v>
      </c>
      <c r="I38" s="514">
        <f>('Turbinas CS'!$C$46*((I33))*'Turbinas CS'!$G$46/'Turbinas CS'!$I$47)</f>
        <v>0</v>
      </c>
      <c r="J38" s="514">
        <f>('Turbinas CS'!$C$46*((J33))*'Turbinas CS'!$G$46/'Turbinas CS'!$I$47)</f>
        <v>0</v>
      </c>
      <c r="K38" s="514">
        <f>('Turbinas CS'!$C$46*((K33))*'Turbinas CS'!$G$46/'Turbinas CS'!$I$47)</f>
        <v>0</v>
      </c>
      <c r="L38" s="514">
        <f>('Turbinas CS'!$C$46*((L33))*'Turbinas CS'!$G$46/'Turbinas CS'!$I$47)</f>
        <v>0</v>
      </c>
      <c r="M38" s="514">
        <f>('Turbinas CS'!$C$46*((M33))*'Turbinas CS'!$G$46/'Turbinas CS'!$I$47)</f>
        <v>0</v>
      </c>
      <c r="N38" s="514">
        <f>('Turbinas CS'!$C$46*((N33))*'Turbinas CS'!$G$46/'Turbinas CS'!$I$47)</f>
        <v>0</v>
      </c>
      <c r="O38" s="532">
        <f t="shared" si="12"/>
        <v>4.7655919500000001E-3</v>
      </c>
    </row>
    <row r="39" spans="1:15" ht="21.75" customHeight="1" x14ac:dyDescent="0.2">
      <c r="A39" s="513" t="s">
        <v>21</v>
      </c>
      <c r="B39" s="513" t="s">
        <v>96</v>
      </c>
      <c r="C39" s="514">
        <f>('Turbinas CS'!$C$55*((C33))*'Turbinas CS'!$G$55/'Turbinas CS'!$I$56)</f>
        <v>9.8503020000000018E-3</v>
      </c>
      <c r="D39" s="514">
        <f>('Turbinas CS'!$C$55*((D33))*'Turbinas CS'!$G$55/'Turbinas CS'!$I$56)</f>
        <v>2.7701071200000003E-2</v>
      </c>
      <c r="E39" s="514">
        <f>('Turbinas CS'!$C$55*((E33))*'Turbinas CS'!$G$55/'Turbinas CS'!$I$56)</f>
        <v>8.058303E-4</v>
      </c>
      <c r="F39" s="514">
        <f>('Turbinas CS'!$C$55*((F33))*'Turbinas CS'!$G$55/'Turbinas CS'!$I$56)</f>
        <v>0</v>
      </c>
      <c r="G39" s="514">
        <f>('Turbinas CS'!$C$55*((G33))*'Turbinas CS'!$G$55/'Turbinas CS'!$I$56)</f>
        <v>0</v>
      </c>
      <c r="H39" s="514">
        <f>('Turbinas CS'!$C$55*((H33))*'Turbinas CS'!$G$55/'Turbinas CS'!$I$56)</f>
        <v>0</v>
      </c>
      <c r="I39" s="514">
        <f>('Turbinas CS'!$C$55*((I33))*'Turbinas CS'!$G$55/'Turbinas CS'!$I$56)</f>
        <v>0</v>
      </c>
      <c r="J39" s="514">
        <f>('Turbinas CS'!$C$55*((J33))*'Turbinas CS'!$G$55/'Turbinas CS'!$I$56)</f>
        <v>0</v>
      </c>
      <c r="K39" s="514">
        <f>('Turbinas CS'!$C$55*((K33))*'Turbinas CS'!$G$55/'Turbinas CS'!$I$56)</f>
        <v>0</v>
      </c>
      <c r="L39" s="514">
        <f>('Turbinas CS'!$C$55*((L33))*'Turbinas CS'!$G$55/'Turbinas CS'!$I$56)</f>
        <v>0</v>
      </c>
      <c r="M39" s="514">
        <f>('Turbinas CS'!$C$55*((M33))*'Turbinas CS'!$G$55/'Turbinas CS'!$I$56)</f>
        <v>0</v>
      </c>
      <c r="N39" s="514">
        <f>('Turbinas CS'!$C$55*((N33))*'Turbinas CS'!$G$55/'Turbinas CS'!$I$56)</f>
        <v>0</v>
      </c>
      <c r="O39" s="532">
        <f t="shared" si="12"/>
        <v>3.8357203499999999E-2</v>
      </c>
    </row>
    <row r="40" spans="1:15" ht="21.75" customHeight="1" x14ac:dyDescent="0.2">
      <c r="A40" s="513" t="s">
        <v>23</v>
      </c>
      <c r="B40" s="513" t="s">
        <v>96</v>
      </c>
      <c r="C40" s="519">
        <f>('Turbinas CS'!$C$64*((C33))*'Turbinas CS'!$G$64/'Turbinas CS'!$I$65)</f>
        <v>4.178916E-5</v>
      </c>
      <c r="D40" s="519">
        <f>('Turbinas CS'!$C$64*((D33))*'Turbinas CS'!$G$64/'Turbinas CS'!$I$65)</f>
        <v>1.1751969600000001E-4</v>
      </c>
      <c r="E40" s="519">
        <f>('Turbinas CS'!$C$64*((E33))*'Turbinas CS'!$G$64/'Turbinas CS'!$I$65)</f>
        <v>3.4186740000000005E-6</v>
      </c>
      <c r="F40" s="519">
        <f>('Turbinas CS'!$C$64*((F33))*'Turbinas CS'!$G$64/'Turbinas CS'!$I$65)</f>
        <v>0</v>
      </c>
      <c r="G40" s="519">
        <f>('Turbinas CS'!$C$64*((G33))*'Turbinas CS'!$G$64/'Turbinas CS'!$I$65)</f>
        <v>0</v>
      </c>
      <c r="H40" s="519">
        <f>('Turbinas CS'!$C$64*((H33))*'Turbinas CS'!$G$64/'Turbinas CS'!$I$65)</f>
        <v>0</v>
      </c>
      <c r="I40" s="519">
        <f>('Turbinas CS'!$C$64*((I33))*'Turbinas CS'!$G$64/'Turbinas CS'!$I$65)</f>
        <v>0</v>
      </c>
      <c r="J40" s="519">
        <f>('Turbinas CS'!$C$64*((J33))*'Turbinas CS'!$G$64/'Turbinas CS'!$I$65)</f>
        <v>0</v>
      </c>
      <c r="K40" s="519">
        <f>('Turbinas CS'!$C$64*((K33))*'Turbinas CS'!$G$64/'Turbinas CS'!$I$65)</f>
        <v>0</v>
      </c>
      <c r="L40" s="519">
        <f>('Turbinas CS'!$C$64*((L33))*'Turbinas CS'!$G$64/'Turbinas CS'!$I$65)</f>
        <v>0</v>
      </c>
      <c r="M40" s="519">
        <f>('Turbinas CS'!$C$64*((M33))*'Turbinas CS'!$G$64/'Turbinas CS'!$I$65)</f>
        <v>0</v>
      </c>
      <c r="N40" s="519">
        <f>('Turbinas CS'!$C$64*((N33))*'Turbinas CS'!$G$64/'Turbinas CS'!$I$65)</f>
        <v>0</v>
      </c>
      <c r="O40" s="533">
        <f t="shared" si="12"/>
        <v>1.6272753000000001E-4</v>
      </c>
    </row>
    <row r="41" spans="1:15" ht="21.75" customHeight="1" x14ac:dyDescent="0.2">
      <c r="A41" s="513" t="s">
        <v>24</v>
      </c>
      <c r="B41" s="513" t="s">
        <v>96</v>
      </c>
      <c r="C41" s="514">
        <f>('Turbinas CS'!$C$73*((C33))*'Turbinas CS'!$G$73/'Turbinas CS'!$I$74)</f>
        <v>488.3712375831912</v>
      </c>
      <c r="D41" s="514">
        <f>('Turbinas CS'!$C$73*((D33))*'Turbinas CS'!$G$73/'Turbinas CS'!$I$74)</f>
        <v>1373.4001682713988</v>
      </c>
      <c r="E41" s="514">
        <f>('Turbinas CS'!$C$73*((E33))*'Turbinas CS'!$G$73/'Turbinas CS'!$I$74)</f>
        <v>39.952515252124684</v>
      </c>
      <c r="F41" s="514">
        <f>('Turbinas CS'!$C$73*((F33))*'Turbinas CS'!$G$73/'Turbinas CS'!$I$74)</f>
        <v>0</v>
      </c>
      <c r="G41" s="514">
        <f>('Turbinas CS'!$C$73*((G33))*'Turbinas CS'!$G$73/'Turbinas CS'!$I$74)</f>
        <v>0</v>
      </c>
      <c r="H41" s="514">
        <f>('Turbinas CS'!$C$73*((H33))*'Turbinas CS'!$G$73/'Turbinas CS'!$I$74)</f>
        <v>0</v>
      </c>
      <c r="I41" s="514">
        <f>('Turbinas CS'!$C$73*((I33))*'Turbinas CS'!$G$73/'Turbinas CS'!$I$74)</f>
        <v>0</v>
      </c>
      <c r="J41" s="514">
        <f>('Turbinas CS'!$C$73*((J33))*'Turbinas CS'!$G$73/'Turbinas CS'!$I$74)</f>
        <v>0</v>
      </c>
      <c r="K41" s="514">
        <f>('Turbinas CS'!$C$73*((K33))*'Turbinas CS'!$G$73/'Turbinas CS'!$I$74)</f>
        <v>0</v>
      </c>
      <c r="L41" s="514">
        <f>('Turbinas CS'!$C$73*((L33))*'Turbinas CS'!$G$73/'Turbinas CS'!$I$74)</f>
        <v>0</v>
      </c>
      <c r="M41" s="514">
        <f>('Turbinas CS'!$C$73*((M33))*'Turbinas CS'!$G$73/'Turbinas CS'!$I$74)</f>
        <v>0</v>
      </c>
      <c r="N41" s="514">
        <f>('Turbinas CS'!$C$73*((N33))*'Turbinas CS'!$G$73/'Turbinas CS'!$I$74)</f>
        <v>0</v>
      </c>
      <c r="O41" s="532">
        <f t="shared" si="12"/>
        <v>1901.7239211067147</v>
      </c>
    </row>
    <row r="42" spans="1:15" ht="31.5" customHeight="1" x14ac:dyDescent="0.2">
      <c r="A42" s="609" t="s">
        <v>16</v>
      </c>
      <c r="B42" s="609"/>
      <c r="C42" s="525"/>
      <c r="D42" s="525"/>
      <c r="E42" s="525"/>
      <c r="F42" s="525"/>
      <c r="G42" s="525"/>
      <c r="H42" s="525"/>
      <c r="I42" s="525"/>
      <c r="J42" s="525"/>
      <c r="K42" s="525"/>
      <c r="L42" s="525"/>
      <c r="M42" s="525"/>
      <c r="N42" s="525"/>
      <c r="O42" s="525"/>
    </row>
    <row r="43" spans="1:15" ht="21.75" hidden="1" customHeight="1" x14ac:dyDescent="0.2">
      <c r="A43" s="513" t="s">
        <v>389</v>
      </c>
      <c r="B43" s="513" t="s">
        <v>94</v>
      </c>
      <c r="C43" s="526">
        <f>SUM('San Juan'!$F$5,'San Juan'!$G$5)</f>
        <v>0</v>
      </c>
      <c r="D43" s="526">
        <f>SUM('San Juan'!$F$6,'San Juan'!$G$6)</f>
        <v>0</v>
      </c>
      <c r="E43" s="526">
        <f>SUM('San Juan'!$F$7,'San Juan'!$G$7)</f>
        <v>0</v>
      </c>
      <c r="F43" s="526">
        <f>SUM('San Juan'!$F$8,'San Juan'!$G$8)</f>
        <v>0</v>
      </c>
      <c r="G43" s="526">
        <f>SUM('San Juan'!$F$9,'San Juan'!$G$9)</f>
        <v>0</v>
      </c>
      <c r="H43" s="526">
        <f>SUM('San Juan'!$F$10,'San Juan'!$G$10)</f>
        <v>0</v>
      </c>
      <c r="I43" s="526">
        <f>SUM('San Juan'!$F$11,'San Juan'!$G$11)</f>
        <v>0</v>
      </c>
      <c r="J43" s="526">
        <f>SUM('San Juan'!$F$12,'San Juan'!$G$12)</f>
        <v>0</v>
      </c>
      <c r="K43" s="526">
        <f>SUM('San Juan'!$F$13,'San Juan'!$G$13)</f>
        <v>0</v>
      </c>
      <c r="L43" s="526">
        <f>SUM('San Juan'!$F$14,'San Juan'!$G$14)</f>
        <v>0</v>
      </c>
      <c r="M43" s="526">
        <f>SUM('San Juan'!$F$15,'San Juan'!$G$15)</f>
        <v>0</v>
      </c>
      <c r="N43" s="526">
        <f>SUM('San Juan'!$F$16,'San Juan'!$G$16)</f>
        <v>0</v>
      </c>
      <c r="O43" s="527">
        <f>SUM(C43:N43)</f>
        <v>0</v>
      </c>
    </row>
    <row r="44" spans="1:15" ht="21.75" hidden="1" customHeight="1" x14ac:dyDescent="0.2">
      <c r="A44" s="513" t="s">
        <v>390</v>
      </c>
      <c r="B44" s="513" t="s">
        <v>94</v>
      </c>
      <c r="C44" s="526">
        <f>SUM('San Juan'!$H$5,'San Juan'!$I$5)</f>
        <v>1150774.3799999999</v>
      </c>
      <c r="D44" s="526">
        <f>SUM('San Juan'!$H$6,'San Juan'!$I$6)</f>
        <v>3485382.1799999997</v>
      </c>
      <c r="E44" s="526">
        <f>SUM('San Juan'!$H$7,'San Juan'!$I$7)</f>
        <v>3959148.0599999996</v>
      </c>
      <c r="F44" s="526">
        <f>SUM('San Juan'!$H$8,'San Juan'!$I$8)</f>
        <v>3561641.1599999997</v>
      </c>
      <c r="G44" s="526">
        <f>SUM('San Juan'!$H$9,'San Juan'!$I$9)</f>
        <v>3686506.3200000003</v>
      </c>
      <c r="H44" s="526">
        <f>SUM('San Juan'!$H$10,'San Juan'!$I$10)</f>
        <v>3992375.52</v>
      </c>
      <c r="I44" s="526">
        <f>SUM('San Juan'!$H$11,'San Juan'!$I$11)</f>
        <v>3496891.02</v>
      </c>
      <c r="J44" s="526">
        <f>SUM('San Juan'!$H$12,'San Juan'!$I$12)</f>
        <v>3971392.74</v>
      </c>
      <c r="K44" s="526">
        <f>SUM('San Juan'!$H$13,'San Juan'!$I$13)</f>
        <v>3166007.46</v>
      </c>
      <c r="L44" s="526">
        <f>SUM('San Juan'!$H$14,'San Juan'!$I$14)</f>
        <v>3686068.6799999997</v>
      </c>
      <c r="M44" s="526">
        <f>SUM('San Juan'!$H$15,'San Juan'!$I$15)</f>
        <v>3862321.6799999997</v>
      </c>
      <c r="N44" s="526">
        <f>SUM('San Juan'!$H$16,'San Juan'!$I$16)</f>
        <v>3436921.74</v>
      </c>
      <c r="O44" s="527">
        <f>SUM(C44:N44)</f>
        <v>41455430.940000005</v>
      </c>
    </row>
    <row r="45" spans="1:15" ht="21.75" hidden="1" customHeight="1" x14ac:dyDescent="0.2">
      <c r="A45" s="513" t="s">
        <v>391</v>
      </c>
      <c r="B45" s="513" t="s">
        <v>383</v>
      </c>
      <c r="C45" s="530">
        <f>'San Juan'!$L$5</f>
        <v>0.5</v>
      </c>
      <c r="D45" s="530">
        <f>'San Juan'!$L$6</f>
        <v>0.5</v>
      </c>
      <c r="E45" s="530">
        <f>'San Juan'!$L$7</f>
        <v>0.5</v>
      </c>
      <c r="F45" s="530">
        <f>'San Juan'!$L$8</f>
        <v>0.49</v>
      </c>
      <c r="G45" s="530">
        <f>'San Juan'!$L$9</f>
        <v>0.49</v>
      </c>
      <c r="H45" s="530">
        <f>'San Juan'!$L$10</f>
        <v>0.48</v>
      </c>
      <c r="I45" s="530">
        <f>'San Juan'!$L$11</f>
        <v>0.47</v>
      </c>
      <c r="J45" s="530">
        <f>'San Juan'!$L$12</f>
        <v>0.47</v>
      </c>
      <c r="K45" s="530">
        <f>'San Juan'!$L$13</f>
        <v>0.46</v>
      </c>
      <c r="L45" s="530">
        <f>'San Juan'!$L$14</f>
        <v>0.47</v>
      </c>
      <c r="M45" s="530">
        <f>'San Juan'!$L$15</f>
        <v>0.44</v>
      </c>
      <c r="N45" s="530">
        <f>'San Juan'!$L$16</f>
        <v>0.41</v>
      </c>
      <c r="O45" s="531">
        <f>IF(O44=0,0,SUMPRODUCT(C45:N45,C44:N44)/O44)</f>
        <v>0.47214690360181794</v>
      </c>
    </row>
    <row r="46" spans="1:15" ht="21.75" hidden="1" customHeight="1" x14ac:dyDescent="0.2">
      <c r="A46" s="513" t="s">
        <v>392</v>
      </c>
      <c r="B46" s="513" t="s">
        <v>94</v>
      </c>
      <c r="C46" s="526">
        <f>'San Juan'!$D$23</f>
        <v>1445632.02</v>
      </c>
      <c r="D46" s="526">
        <f>'San Juan'!$D$24</f>
        <v>2857839.6</v>
      </c>
      <c r="E46" s="526">
        <f>'San Juan'!$D$25</f>
        <v>5410026.2999999998</v>
      </c>
      <c r="F46" s="526">
        <f>'San Juan'!$D$26</f>
        <v>4279874.76</v>
      </c>
      <c r="G46" s="526">
        <f>'San Juan'!$D$27</f>
        <v>819495.6</v>
      </c>
      <c r="H46" s="526">
        <f>'San Juan'!$D$28</f>
        <v>1090787.8799999999</v>
      </c>
      <c r="I46" s="526">
        <f>'San Juan'!$D$29</f>
        <v>1594594.26</v>
      </c>
      <c r="J46" s="526">
        <f>'San Juan'!$D$30</f>
        <v>809326.1399999999</v>
      </c>
      <c r="K46" s="526">
        <f>'San Juan'!$D$31</f>
        <v>1217367.06</v>
      </c>
      <c r="L46" s="526">
        <f>'San Juan'!$D$32</f>
        <v>2387308.14</v>
      </c>
      <c r="M46" s="526">
        <f>'San Juan'!$D$33</f>
        <v>703114.44</v>
      </c>
      <c r="N46" s="526">
        <f>'San Juan'!$D$34</f>
        <v>59638.32</v>
      </c>
      <c r="O46" s="527">
        <f>SUM(C46:N46)</f>
        <v>22675004.520000003</v>
      </c>
    </row>
    <row r="47" spans="1:15" ht="21.75" hidden="1" customHeight="1" x14ac:dyDescent="0.2">
      <c r="A47" s="513" t="s">
        <v>393</v>
      </c>
      <c r="B47" s="513" t="s">
        <v>74</v>
      </c>
      <c r="C47" s="528">
        <f>'San Juan'!$N$23</f>
        <v>812105213.96000004</v>
      </c>
      <c r="D47" s="528">
        <f>'San Juan'!$N$24</f>
        <v>450238185.66000003</v>
      </c>
      <c r="E47" s="528">
        <f>'San Juan'!$N$25</f>
        <v>271562882.81999999</v>
      </c>
      <c r="F47" s="528">
        <f>'San Juan'!$N$26</f>
        <v>417577387.25999999</v>
      </c>
      <c r="G47" s="528">
        <f>'San Juan'!$N$27</f>
        <v>822289211.36000001</v>
      </c>
      <c r="H47" s="528">
        <f>'San Juan'!$N$28</f>
        <v>881008248.34000003</v>
      </c>
      <c r="I47" s="528">
        <f>'San Juan'!$N$29</f>
        <v>816790064</v>
      </c>
      <c r="J47" s="528">
        <f>'San Juan'!$N$30</f>
        <v>818171065.86000001</v>
      </c>
      <c r="K47" s="528">
        <f>'San Juan'!$N$31</f>
        <v>770916239.36000001</v>
      </c>
      <c r="L47" s="528">
        <f>'San Juan'!$N$32</f>
        <v>585164644.74000001</v>
      </c>
      <c r="M47" s="528">
        <f>'San Juan'!$N$33</f>
        <v>518740758.77999997</v>
      </c>
      <c r="N47" s="528">
        <f>'San Juan'!$N$34</f>
        <v>234449446.91</v>
      </c>
      <c r="O47" s="529">
        <f>SUM(C47:N47)</f>
        <v>7399013349.0499983</v>
      </c>
    </row>
    <row r="48" spans="1:15" ht="21.75" hidden="1" customHeight="1" x14ac:dyDescent="0.2">
      <c r="A48" s="513" t="s">
        <v>394</v>
      </c>
      <c r="B48" s="513" t="s">
        <v>383</v>
      </c>
      <c r="C48" s="530">
        <f>'San Juan'!$F$23</f>
        <v>4.6000000000000001E-4</v>
      </c>
      <c r="D48" s="530">
        <f>'San Juan'!$F$24</f>
        <v>5.5000000000000003E-4</v>
      </c>
      <c r="E48" s="530">
        <f>'San Juan'!$F$25</f>
        <v>4.6000000000000001E-4</v>
      </c>
      <c r="F48" s="530">
        <f>'San Juan'!$F$26</f>
        <v>1E-3</v>
      </c>
      <c r="G48" s="530">
        <f>'San Juan'!$F$27</f>
        <v>5.9999999999999995E-4</v>
      </c>
      <c r="H48" s="530">
        <f>'San Juan'!$F$28</f>
        <v>5.9999999999999995E-4</v>
      </c>
      <c r="I48" s="530">
        <f>'San Juan'!$F$29</f>
        <v>5.9999999999999995E-4</v>
      </c>
      <c r="J48" s="530">
        <f>'San Juan'!$F$30</f>
        <v>1E-3</v>
      </c>
      <c r="K48" s="530">
        <f>'San Juan'!$F$31</f>
        <v>1E-3</v>
      </c>
      <c r="L48" s="530">
        <f>'San Juan'!$F$32</f>
        <v>6.9999999999999999E-4</v>
      </c>
      <c r="M48" s="530">
        <f>'San Juan'!$F$33</f>
        <v>1E-3</v>
      </c>
      <c r="N48" s="530">
        <f>'San Juan'!$F$34</f>
        <v>1E-3</v>
      </c>
      <c r="O48" s="531">
        <f>IF(O46=0,0,SUMPRODUCT(C48:N48,C46:N46)/O46)</f>
        <v>6.8660527302069076E-4</v>
      </c>
    </row>
    <row r="49" spans="1:15" ht="21.75" hidden="1" customHeight="1" x14ac:dyDescent="0.2">
      <c r="A49" s="513" t="s">
        <v>395</v>
      </c>
      <c r="B49" s="513" t="s">
        <v>94</v>
      </c>
      <c r="C49" s="526">
        <f>'San Juan'!$E$23</f>
        <v>0</v>
      </c>
      <c r="D49" s="526">
        <f>'San Juan'!$E$24</f>
        <v>0</v>
      </c>
      <c r="E49" s="526">
        <f>'San Juan'!$E$25</f>
        <v>0</v>
      </c>
      <c r="F49" s="526">
        <f>'San Juan'!$E$26</f>
        <v>0</v>
      </c>
      <c r="G49" s="526">
        <f>'San Juan'!$E$27</f>
        <v>198382.38</v>
      </c>
      <c r="H49" s="526">
        <f>'San Juan'!$E$28</f>
        <v>796354.44</v>
      </c>
      <c r="I49" s="526">
        <f>'San Juan'!$E$29</f>
        <v>1869598.9200000002</v>
      </c>
      <c r="J49" s="526">
        <f>'San Juan'!$E$30</f>
        <v>657330.24</v>
      </c>
      <c r="K49" s="526">
        <f>'San Juan'!$E$31</f>
        <v>1240020.5999999999</v>
      </c>
      <c r="L49" s="526">
        <f>'San Juan'!$E$32</f>
        <v>3305283.6599999997</v>
      </c>
      <c r="M49" s="526">
        <f>'San Juan'!$E$33</f>
        <v>1582696.0799999998</v>
      </c>
      <c r="N49" s="526">
        <f>'San Juan'!$E$34</f>
        <v>317396.52</v>
      </c>
      <c r="O49" s="527">
        <f>SUM(C49:N49)</f>
        <v>9967062.8399999999</v>
      </c>
    </row>
    <row r="50" spans="1:15" ht="21.75" hidden="1" customHeight="1" x14ac:dyDescent="0.2">
      <c r="A50" s="513" t="s">
        <v>396</v>
      </c>
      <c r="B50" s="513" t="s">
        <v>74</v>
      </c>
      <c r="C50" s="528">
        <f>'San Juan'!$O$23</f>
        <v>0</v>
      </c>
      <c r="D50" s="528">
        <f>'San Juan'!$O$24</f>
        <v>0</v>
      </c>
      <c r="E50" s="528">
        <f>'San Juan'!$O$25</f>
        <v>0</v>
      </c>
      <c r="F50" s="528">
        <f>'San Juan'!$O$26</f>
        <v>0</v>
      </c>
      <c r="G50" s="528">
        <f>'San Juan'!$O$27</f>
        <v>362953163</v>
      </c>
      <c r="H50" s="528">
        <f>'San Juan'!$O$28</f>
        <v>916670375.03999996</v>
      </c>
      <c r="I50" s="528">
        <f>'San Juan'!$O$29</f>
        <v>549887070.85000002</v>
      </c>
      <c r="J50" s="528">
        <f>'San Juan'!$O$30</f>
        <v>475022375.55000001</v>
      </c>
      <c r="K50" s="528">
        <f>'San Juan'!$O$31</f>
        <v>677768314.94000006</v>
      </c>
      <c r="L50" s="528">
        <f>'San Juan'!$O$32</f>
        <v>538312828.05999994</v>
      </c>
      <c r="M50" s="528">
        <f>'San Juan'!$O$33</f>
        <v>781962680.58000004</v>
      </c>
      <c r="N50" s="528">
        <f>'San Juan'!$O$34</f>
        <v>485828341.75999999</v>
      </c>
      <c r="O50" s="529">
        <f>SUM(C50:N50)</f>
        <v>4788405149.7800007</v>
      </c>
    </row>
    <row r="51" spans="1:15" ht="21.75" hidden="1" customHeight="1" x14ac:dyDescent="0.2">
      <c r="A51" s="513" t="s">
        <v>397</v>
      </c>
      <c r="B51" s="513" t="s">
        <v>383</v>
      </c>
      <c r="C51" s="530">
        <f>'San Juan'!$G$23</f>
        <v>4.6000000000000001E-4</v>
      </c>
      <c r="D51" s="530">
        <f>'San Juan'!$G$24</f>
        <v>5.5000000000000003E-4</v>
      </c>
      <c r="E51" s="530">
        <f>'San Juan'!$G$25</f>
        <v>4.6000000000000001E-4</v>
      </c>
      <c r="F51" s="530">
        <f>'San Juan'!$G$26</f>
        <v>1E-3</v>
      </c>
      <c r="G51" s="530">
        <f>'San Juan'!$G$27</f>
        <v>5.9999999999999995E-4</v>
      </c>
      <c r="H51" s="530">
        <f>'San Juan'!$G$28</f>
        <v>5.9999999999999995E-4</v>
      </c>
      <c r="I51" s="530">
        <f>'San Juan'!$G$29</f>
        <v>5.9999999999999995E-4</v>
      </c>
      <c r="J51" s="530">
        <f>'San Juan'!$G$30</f>
        <v>1E-3</v>
      </c>
      <c r="K51" s="530">
        <f>'San Juan'!$G$31</f>
        <v>1E-3</v>
      </c>
      <c r="L51" s="530">
        <f>'San Juan'!$G$32</f>
        <v>6.9999999999999999E-4</v>
      </c>
      <c r="M51" s="530">
        <f>'San Juan'!$G$33</f>
        <v>1E-3</v>
      </c>
      <c r="N51" s="530">
        <f>'San Juan'!$G$34</f>
        <v>1E-3</v>
      </c>
      <c r="O51" s="531">
        <f>IF(O49=0,0,SUMPRODUCT(C51:N51,C49:N49)/O49)</f>
        <v>7.8556176194430414E-4</v>
      </c>
    </row>
    <row r="52" spans="1:15" ht="21.75" customHeight="1" x14ac:dyDescent="0.2">
      <c r="A52" s="513" t="s">
        <v>17</v>
      </c>
      <c r="B52" s="513" t="s">
        <v>96</v>
      </c>
      <c r="C52" s="514">
        <f>((('Cálculos SJ'!$B$31*((C43+C44))*'Cálculos SJ'!$H$31)/'Cálculos SJ'!$F$32))+((((C46)*'Cálculos SJ5'!$E$38*'Cálculos SJ5'!$H$38+(C47)*'Cálculos SJ5'!$O$38*'Cálculos SJ5'!$R$38/1000000)/2000))+((((C49)*'Cálculos SJ6'!$E$38*'Cálculos SJ6'!$H$38+(C50)*'Cálculos SJ6'!$O$38*'Cálculos SJ6'!$R$38/1000000)/2000))</f>
        <v>8.1556490115813602</v>
      </c>
      <c r="D52" s="514">
        <f>((('Cálculos SJ'!$B$31*((D43+D44))*'Cálculos SJ'!$H$31)/'Cálculos SJ'!$F$32))+((((D46)*'Cálculos SJ5'!$E$38*'Cálculos SJ5'!$H$38+(D47)*'Cálculos SJ5'!$O$38*'Cálculos SJ5'!$R$38/1000000)/2000))+((((D49)*'Cálculos SJ6'!$E$38*'Cálculos SJ6'!$H$38+(D50)*'Cálculos SJ6'!$O$38*'Cálculos SJ6'!$R$38/1000000)/2000))</f>
        <v>14.957834118091558</v>
      </c>
      <c r="E52" s="514">
        <f>((('Cálculos SJ'!$B$31*((E43+E44))*'Cálculos SJ'!$H$31)/'Cálculos SJ'!$F$32))+((((E46)*'Cálculos SJ5'!$E$38*'Cálculos SJ5'!$H$38+(E47)*'Cálculos SJ5'!$O$38*'Cálculos SJ5'!$R$38/1000000)/2000))+((((E49)*'Cálculos SJ6'!$E$38*'Cálculos SJ6'!$H$38+(E50)*'Cálculos SJ6'!$O$38*'Cálculos SJ6'!$R$38/1000000)/2000))</f>
        <v>20.423651336052117</v>
      </c>
      <c r="F52" s="514">
        <f>((('Cálculos SJ'!$B$31*((F43+F44))*'Cálculos SJ'!$H$31)/'Cálculos SJ'!$F$32))+((((F46)*'Cálculos SJ5'!$E$38*'Cálculos SJ5'!$H$38+(F47)*'Cálculos SJ5'!$O$38*'Cálculos SJ5'!$R$38/1000000)/2000))+((((F49)*'Cálculos SJ6'!$E$38*'Cálculos SJ6'!$H$38+(F50)*'Cálculos SJ6'!$O$38*'Cálculos SJ6'!$R$38/1000000)/2000))</f>
        <v>17.806100675213159</v>
      </c>
      <c r="G52" s="514">
        <f>((('Cálculos SJ'!$B$31*((G43+G44))*'Cálculos SJ'!$H$31)/'Cálculos SJ'!$F$32))+((((G46)*'Cálculos SJ5'!$E$38*'Cálculos SJ5'!$H$38+(G47)*'Cálculos SJ5'!$O$38*'Cálculos SJ5'!$R$38/1000000)/2000))+((((G49)*'Cálculos SJ6'!$E$38*'Cálculos SJ6'!$H$38+(G50)*'Cálculos SJ6'!$O$38*'Cálculos SJ6'!$R$38/1000000)/2000))</f>
        <v>14.278798741703758</v>
      </c>
      <c r="H52" s="514">
        <f>((('Cálculos SJ'!$B$31*((H43+H44))*'Cálculos SJ'!$H$31)/'Cálculos SJ'!$F$32))+((((H46)*'Cálculos SJ5'!$E$38*'Cálculos SJ5'!$H$38+(H47)*'Cálculos SJ5'!$O$38*'Cálculos SJ5'!$R$38/1000000)/2000))+((((H49)*'Cálculos SJ6'!$E$38*'Cálculos SJ6'!$H$38+(H50)*'Cálculos SJ6'!$O$38*'Cálculos SJ6'!$R$38/1000000)/2000))</f>
        <v>18.731875256569079</v>
      </c>
      <c r="I52" s="514">
        <f>((('Cálculos SJ'!$B$31*((I43+I44))*'Cálculos SJ'!$H$31)/'Cálculos SJ'!$F$32))+((((I46)*'Cálculos SJ5'!$E$38*'Cálculos SJ5'!$H$38+(I47)*'Cálculos SJ5'!$O$38*'Cálculos SJ5'!$R$38/1000000)/2000))+((((I49)*'Cálculos SJ6'!$E$38*'Cálculos SJ6'!$H$38+(I50)*'Cálculos SJ6'!$O$38*'Cálculos SJ6'!$R$38/1000000)/2000))</f>
        <v>19.256672986433102</v>
      </c>
      <c r="J52" s="514">
        <f>((('Cálculos SJ'!$B$31*((J43+J44))*'Cálculos SJ'!$H$31)/'Cálculos SJ'!$F$32))+((((J46)*'Cálculos SJ5'!$E$38*'Cálculos SJ5'!$H$38+(J47)*'Cálculos SJ5'!$O$38*'Cálculos SJ5'!$R$38/1000000)/2000))+((((J49)*'Cálculos SJ6'!$E$38*'Cálculos SJ6'!$H$38+(J50)*'Cálculos SJ6'!$O$38*'Cálculos SJ6'!$R$38/1000000)/2000))</f>
        <v>16.162582631034059</v>
      </c>
      <c r="K52" s="514">
        <f>((('Cálculos SJ'!$B$31*((K43+K44))*'Cálculos SJ'!$H$31)/'Cálculos SJ'!$F$32))+((((K46)*'Cálculos SJ5'!$E$38*'Cálculos SJ5'!$H$38+(K47)*'Cálculos SJ5'!$O$38*'Cálculos SJ5'!$R$38/1000000)/2000))+((((K49)*'Cálculos SJ6'!$E$38*'Cálculos SJ6'!$H$38+(K50)*'Cálculos SJ6'!$O$38*'Cálculos SJ6'!$R$38/1000000)/2000))</f>
        <v>16.815285853309799</v>
      </c>
      <c r="L52" s="514">
        <f>((('Cálculos SJ'!$B$31*((L43+L44))*'Cálculos SJ'!$H$31)/'Cálculos SJ'!$F$32))+((((L46)*'Cálculos SJ5'!$E$38*'Cálculos SJ5'!$H$38+(L47)*'Cálculos SJ5'!$O$38*'Cálculos SJ5'!$R$38/1000000)/2000))+((((L49)*'Cálculos SJ6'!$E$38*'Cálculos SJ6'!$H$38+(L50)*'Cálculos SJ6'!$O$38*'Cálculos SJ6'!$R$38/1000000)/2000))</f>
        <v>23.230482594724798</v>
      </c>
      <c r="M52" s="514">
        <f>((('Cálculos SJ'!$B$31*((M43+M44))*'Cálculos SJ'!$H$31)/'Cálculos SJ'!$F$32))+((((M46)*'Cálculos SJ5'!$E$38*'Cálculos SJ5'!$H$38+(M47)*'Cálculos SJ5'!$O$38*'Cálculos SJ5'!$R$38/1000000)/2000))+((((M49)*'Cálculos SJ6'!$E$38*'Cálculos SJ6'!$H$38+(M50)*'Cálculos SJ6'!$O$38*'Cálculos SJ6'!$R$38/1000000)/2000))</f>
        <v>17.54766585187776</v>
      </c>
      <c r="N52" s="514">
        <f>((('Cálculos SJ'!$B$31*((N43+N44))*'Cálculos SJ'!$H$31)/'Cálculos SJ'!$F$32))+((((N46)*'Cálculos SJ5'!$E$38*'Cálculos SJ5'!$H$38+(N47)*'Cálculos SJ5'!$O$38*'Cálculos SJ5'!$R$38/1000000)/2000))+((((N49)*'Cálculos SJ6'!$E$38*'Cálculos SJ6'!$H$38+(N50)*'Cálculos SJ6'!$O$38*'Cálculos SJ6'!$R$38/1000000)/2000))</f>
        <v>10.896366424127219</v>
      </c>
      <c r="O52" s="532">
        <f t="shared" ref="O52:O61" si="13">SUM(C52:N52)</f>
        <v>198.26296548071778</v>
      </c>
    </row>
    <row r="53" spans="1:15" ht="21.75" customHeight="1" x14ac:dyDescent="0.2">
      <c r="A53" s="513" t="s">
        <v>18</v>
      </c>
      <c r="B53" s="513" t="s">
        <v>96</v>
      </c>
      <c r="C53" s="514">
        <f>((('Cálculos SJ'!$B$23*(C43+C44)*'Cálculos SJ'!$H$23)/'Cálculos SJ'!$F$24))+((((C46)*'Cálculos SJ5'!$E$44*'Cálculos SJ5'!$H$44+(C47)*'Cálculos SJ5'!$O$44*'Cálculos SJ5'!$R$44/1000000)/2000))+((((C49)*'Cálculos SJ6'!$E$44*'Cálculos SJ6'!$H$44+(C50)*'Cálculos SJ6'!$O$44*'Cálculos SJ6'!$R$44/1000000)/2000))</f>
        <v>9.7468946450553595</v>
      </c>
      <c r="D53" s="514">
        <f>((('Cálculos SJ'!$B$23*(D43+D44)*'Cálculos SJ'!$H$23)/'Cálculos SJ'!$F$24))+((((D46)*'Cálculos SJ5'!$E$44*'Cálculos SJ5'!$H$44+(D47)*'Cálculos SJ5'!$O$44*'Cálculos SJ5'!$R$44/1000000)/2000))+((((D49)*'Cálculos SJ6'!$E$44*'Cálculos SJ6'!$H$44+(D50)*'Cálculos SJ6'!$O$44*'Cálculos SJ6'!$R$44/1000000)/2000))</f>
        <v>19.011364559611557</v>
      </c>
      <c r="E53" s="514">
        <f>((('Cálculos SJ'!$B$23*(E43+E44)*'Cálculos SJ'!$H$23)/'Cálculos SJ'!$F$24))+((((E46)*'Cálculos SJ5'!$E$44*'Cálculos SJ5'!$H$44+(E47)*'Cálculos SJ5'!$O$44*'Cálculos SJ5'!$R$44/1000000)/2000))+((((E49)*'Cálculos SJ6'!$E$44*'Cálculos SJ6'!$H$44+(E50)*'Cálculos SJ6'!$O$44*'Cálculos SJ6'!$R$44/1000000)/2000))</f>
        <v>26.118042628362122</v>
      </c>
      <c r="F53" s="514">
        <f>((('Cálculos SJ'!$B$23*(F43+F44)*'Cálculos SJ'!$H$23)/'Cálculos SJ'!$F$24))+((((F46)*'Cálculos SJ5'!$E$44*'Cálculos SJ5'!$H$44+(F47)*'Cálculos SJ5'!$O$44*'Cálculos SJ5'!$R$44/1000000)/2000))+((((F49)*'Cálculos SJ6'!$E$44*'Cálculos SJ6'!$H$44+(F50)*'Cálculos SJ6'!$O$44*'Cálculos SJ6'!$R$44/1000000)/2000))</f>
        <v>22.633104461825162</v>
      </c>
      <c r="G53" s="514">
        <f>((('Cálculos SJ'!$B$23*(G43+G44)*'Cálculos SJ'!$H$23)/'Cálculos SJ'!$F$24))+((((G46)*'Cálculos SJ5'!$E$44*'Cálculos SJ5'!$H$44+(G47)*'Cálculos SJ5'!$O$44*'Cálculos SJ5'!$R$44/1000000)/2000))+((((G49)*'Cálculos SJ6'!$E$44*'Cálculos SJ6'!$H$44+(G50)*'Cálculos SJ6'!$O$44*'Cálculos SJ6'!$R$44/1000000)/2000))</f>
        <v>17.556383620229763</v>
      </c>
      <c r="H53" s="514">
        <f>((('Cálculos SJ'!$B$23*(H43+H44)*'Cálculos SJ'!$H$23)/'Cálculos SJ'!$F$24))+((((H46)*'Cálculos SJ5'!$E$44*'Cálculos SJ5'!$H$44+(H47)*'Cálculos SJ5'!$O$44*'Cálculos SJ5'!$R$44/1000000)/2000))+((((H49)*'Cálculos SJ6'!$E$44*'Cálculos SJ6'!$H$44+(H50)*'Cálculos SJ6'!$O$44*'Cálculos SJ6'!$R$44/1000000)/2000))</f>
        <v>22.67671048315308</v>
      </c>
      <c r="I53" s="514">
        <f>((('Cálculos SJ'!$B$23*(I43+I44)*'Cálculos SJ'!$H$23)/'Cálculos SJ'!$F$24))+((((I46)*'Cálculos SJ5'!$E$44*'Cálculos SJ5'!$H$44+(I47)*'Cálculos SJ5'!$O$44*'Cálculos SJ5'!$R$44/1000000)/2000))+((((I49)*'Cálculos SJ6'!$E$44*'Cálculos SJ6'!$H$44+(I50)*'Cálculos SJ6'!$O$44*'Cálculos SJ6'!$R$44/1000000)/2000))</f>
        <v>23.6242553561991</v>
      </c>
      <c r="J53" s="514">
        <f>((('Cálculos SJ'!$B$23*(J43+J44)*'Cálculos SJ'!$H$23)/'Cálculos SJ'!$F$24))+((((J46)*'Cálculos SJ5'!$E$44*'Cálculos SJ5'!$H$44+(J47)*'Cálculos SJ5'!$O$44*'Cálculos SJ5'!$R$44/1000000)/2000))+((((J49)*'Cálculos SJ6'!$E$44*'Cálculos SJ6'!$H$44+(J50)*'Cálculos SJ6'!$O$44*'Cálculos SJ6'!$R$44/1000000)/2000))</f>
        <v>19.879882004640059</v>
      </c>
      <c r="K53" s="514">
        <f>((('Cálculos SJ'!$B$23*(K43+K44)*'Cálculos SJ'!$H$23)/'Cálculos SJ'!$F$24))+((((K46)*'Cálculos SJ5'!$E$44*'Cálculos SJ5'!$H$44+(K47)*'Cálculos SJ5'!$O$44*'Cálculos SJ5'!$R$44/1000000)/2000))+((((K49)*'Cálculos SJ6'!$E$44*'Cálculos SJ6'!$H$44+(K50)*'Cálculos SJ6'!$O$44*'Cálculos SJ6'!$R$44/1000000)/2000))</f>
        <v>20.427577612651802</v>
      </c>
      <c r="L53" s="514">
        <f>((('Cálculos SJ'!$B$23*(L43+L44)*'Cálculos SJ'!$H$23)/'Cálculos SJ'!$F$24))+((((L46)*'Cálculos SJ5'!$E$44*'Cálculos SJ5'!$H$44+(L47)*'Cálculos SJ5'!$O$44*'Cálculos SJ5'!$R$44/1000000)/2000))+((((L49)*'Cálculos SJ6'!$E$44*'Cálculos SJ6'!$H$44+(L50)*'Cálculos SJ6'!$O$44*'Cálculos SJ6'!$R$44/1000000)/2000))</f>
        <v>28.862392594384801</v>
      </c>
      <c r="M53" s="514">
        <f>((('Cálculos SJ'!$B$23*(M43+M44)*'Cálculos SJ'!$H$23)/'Cálculos SJ'!$F$24))+((((M46)*'Cálculos SJ5'!$E$44*'Cálculos SJ5'!$H$44+(M47)*'Cálculos SJ5'!$O$44*'Cálculos SJ5'!$R$44/1000000)/2000))+((((M49)*'Cálculos SJ6'!$E$44*'Cálculos SJ6'!$H$44+(M50)*'Cálculos SJ6'!$O$44*'Cálculos SJ6'!$R$44/1000000)/2000))</f>
        <v>21.595769870801757</v>
      </c>
      <c r="N53" s="514">
        <f>((('Cálculos SJ'!$B$23*(N43+N44)*'Cálculos SJ'!$H$23)/'Cálculos SJ'!$F$24))+((((N46)*'Cálculos SJ5'!$E$44*'Cálculos SJ5'!$H$44+(N47)*'Cálculos SJ5'!$O$44*'Cálculos SJ5'!$R$44/1000000)/2000))+((((N49)*'Cálculos SJ6'!$E$44*'Cálculos SJ6'!$H$44+(N50)*'Cálculos SJ6'!$O$44*'Cálculos SJ6'!$R$44/1000000)/2000))</f>
        <v>13.663970178035218</v>
      </c>
      <c r="O53" s="532">
        <f t="shared" si="13"/>
        <v>245.79634801494976</v>
      </c>
    </row>
    <row r="54" spans="1:15" ht="21.75" customHeight="1" x14ac:dyDescent="0.2">
      <c r="A54" s="513" t="s">
        <v>40</v>
      </c>
      <c r="B54" s="513" t="s">
        <v>96</v>
      </c>
      <c r="C54" s="514">
        <f>((((C46)*'Cálculos SJ5'!$E$49*'Cálculos SJ5'!$H$49+(C47)*'Cálculos SJ5'!$O$49*'Cálculos SJ5'!$R$49/1000000)/2000))+((((C49)*'Cálculos SJ6'!$E$50*'Cálculos SJ6'!$H$50+(C50)*'Cálculos SJ6'!$O$50*'Cálculos SJ6'!$R$50/1000000)/2000))</f>
        <v>6.2945715050553606</v>
      </c>
      <c r="D54" s="514">
        <f>((((D46)*'Cálculos SJ5'!$E$49*'Cálculos SJ5'!$H$49+(D47)*'Cálculos SJ5'!$O$49*'Cálculos SJ5'!$R$49/1000000)/2000))+((((D49)*'Cálculos SJ6'!$E$50*'Cálculos SJ6'!$H$50+(D50)*'Cálculos SJ6'!$O$50*'Cálculos SJ6'!$R$50/1000000)/2000))</f>
        <v>8.5552180196115604</v>
      </c>
      <c r="E54" s="514">
        <f>((((E46)*'Cálculos SJ5'!$E$49*'Cálculos SJ5'!$H$49+(E47)*'Cálculos SJ5'!$O$49*'Cálculos SJ5'!$R$49/1000000)/2000))+((((E49)*'Cálculos SJ6'!$E$50*'Cálculos SJ6'!$H$50+(E50)*'Cálculos SJ6'!$O$50*'Cálculos SJ6'!$R$50/1000000)/2000))</f>
        <v>14.240598448362123</v>
      </c>
      <c r="F54" s="514">
        <f>((((F46)*'Cálculos SJ5'!$E$49*'Cálculos SJ5'!$H$49+(F47)*'Cálculos SJ5'!$O$49*'Cálculos SJ5'!$R$49/1000000)/2000))+((((F49)*'Cálculos SJ6'!$E$50*'Cálculos SJ6'!$H$50+(F50)*'Cálculos SJ6'!$O$50*'Cálculos SJ6'!$R$50/1000000)/2000))</f>
        <v>11.948180981825161</v>
      </c>
      <c r="G54" s="514">
        <f>((((G46)*'Cálculos SJ5'!$E$49*'Cálculos SJ5'!$H$49+(G47)*'Cálculos SJ5'!$O$49*'Cálculos SJ5'!$R$49/1000000)/2000))+((((G49)*'Cálculos SJ6'!$E$50*'Cálculos SJ6'!$H$50+(G50)*'Cálculos SJ6'!$O$50*'Cálculos SJ6'!$R$50/1000000)/2000))</f>
        <v>6.4968646602297602</v>
      </c>
      <c r="H54" s="514">
        <f>((((H46)*'Cálculos SJ5'!$E$49*'Cálculos SJ5'!$H$49+(H47)*'Cálculos SJ5'!$O$49*'Cálculos SJ5'!$R$49/1000000)/2000))+((((H49)*'Cálculos SJ6'!$E$50*'Cálculos SJ6'!$H$50+(H50)*'Cálculos SJ6'!$O$50*'Cálculos SJ6'!$R$50/1000000)/2000))</f>
        <v>10.69958392315308</v>
      </c>
      <c r="I54" s="514">
        <f>((((I46)*'Cálculos SJ5'!$E$49*'Cálculos SJ5'!$H$49+(I47)*'Cálculos SJ5'!$O$49*'Cálculos SJ5'!$R$49/1000000)/2000))+((((I49)*'Cálculos SJ6'!$E$50*'Cálculos SJ6'!$H$50+(I50)*'Cálculos SJ6'!$O$50*'Cálculos SJ6'!$R$50/1000000)/2000))</f>
        <v>13.133582296199101</v>
      </c>
      <c r="J54" s="514">
        <f>((((J46)*'Cálculos SJ5'!$E$49*'Cálculos SJ5'!$H$49+(J47)*'Cálculos SJ5'!$O$49*'Cálculos SJ5'!$R$49/1000000)/2000))+((((J49)*'Cálculos SJ6'!$E$50*'Cálculos SJ6'!$H$50+(J50)*'Cálculos SJ6'!$O$50*'Cálculos SJ6'!$R$50/1000000)/2000))</f>
        <v>7.96570378464006</v>
      </c>
      <c r="K54" s="514">
        <f>((((K46)*'Cálculos SJ5'!$E$49*'Cálculos SJ5'!$H$49+(K47)*'Cálculos SJ5'!$O$49*'Cálculos SJ5'!$R$49/1000000)/2000))+((((K49)*'Cálculos SJ6'!$E$50*'Cálculos SJ6'!$H$50+(K50)*'Cálculos SJ6'!$O$50*'Cálculos SJ6'!$R$50/1000000)/2000))</f>
        <v>10.929555232651801</v>
      </c>
      <c r="L54" s="514">
        <f>((((L46)*'Cálculos SJ5'!$E$49*'Cálculos SJ5'!$H$49+(L47)*'Cálculos SJ5'!$O$49*'Cálculos SJ5'!$R$49/1000000)/2000))+((((L49)*'Cálculos SJ6'!$E$50*'Cálculos SJ6'!$H$50+(L50)*'Cálculos SJ6'!$O$50*'Cálculos SJ6'!$R$50/1000000)/2000))</f>
        <v>17.804186554384799</v>
      </c>
      <c r="M54" s="514">
        <f>((((M46)*'Cálculos SJ5'!$E$49*'Cálculos SJ5'!$H$49+(M47)*'Cálculos SJ5'!$O$49*'Cálculos SJ5'!$R$49/1000000)/2000))+((((M49)*'Cálculos SJ6'!$E$50*'Cálculos SJ6'!$H$50+(M50)*'Cálculos SJ6'!$O$50*'Cálculos SJ6'!$R$50/1000000)/2000))</f>
        <v>10.008804830801761</v>
      </c>
      <c r="N54" s="514">
        <f>((((N46)*'Cálculos SJ5'!$E$49*'Cálculos SJ5'!$H$49+(N47)*'Cálculos SJ5'!$O$49*'Cálculos SJ5'!$R$49/1000000)/2000))+((((N49)*'Cálculos SJ6'!$E$50*'Cálculos SJ6'!$H$50+(N50)*'Cálculos SJ6'!$O$50*'Cálculos SJ6'!$R$50/1000000)/2000))</f>
        <v>3.3532049580352203</v>
      </c>
      <c r="O54" s="532">
        <f t="shared" si="13"/>
        <v>121.43005519494979</v>
      </c>
    </row>
    <row r="55" spans="1:15" ht="21.75" customHeight="1" x14ac:dyDescent="0.2">
      <c r="A55" s="513" t="s">
        <v>377</v>
      </c>
      <c r="B55" s="513" t="s">
        <v>96</v>
      </c>
      <c r="C55" s="514">
        <f>(((((157+5.7)*C45)/'Cálculos SJ'!$B$49*((((C43+C44)))))/'Cálculos SJ'!$F$49))+((((C46)*'Cálculos SJ5'!$E$55*(1.01*C48)+(C47)*'Cálculos SJ5'!$O$55*'Cálculos SJ5'!$R$55/1000000)/2000))+((((C49)*'Cálculos SJ6'!$E$56*(1.01*C51)+(C50)*'Cálculos SJ6'!$O$56*'Cálculos SJ6'!$R$56/1000000)/2000))</f>
        <v>48.013777355952818</v>
      </c>
      <c r="D55" s="514">
        <f>(((((157+5.7)*D45)/'Cálculos SJ'!$B$49*((((D43+D44)))))/'Cálculos SJ'!$F$49))+((((D46)*'Cálculos SJ5'!$E$55*(1.01*D48)+(D47)*'Cálculos SJ5'!$O$55*'Cálculos SJ5'!$R$55/1000000)/2000))+((((D49)*'Cálculos SJ6'!$E$56*(1.01*D51)+(D50)*'Cálculos SJ6'!$O$56*'Cálculos SJ6'!$R$56/1000000)/2000))</f>
        <v>142.52039986357067</v>
      </c>
      <c r="E55" s="514">
        <f>(((((157+5.7)*E45)/'Cálculos SJ'!$B$49*((((E43+E44)))))/'Cálculos SJ'!$F$49))+((((E46)*'Cálculos SJ5'!$E$55*(1.01*E48)+(E47)*'Cálculos SJ5'!$O$55*'Cálculos SJ5'!$R$55/1000000)/2000))+((((E49)*'Cálculos SJ6'!$E$56*(1.01*E51)+(E50)*'Cálculos SJ6'!$O$56*'Cálculos SJ6'!$R$56/1000000)/2000))</f>
        <v>161.59957051427651</v>
      </c>
      <c r="F55" s="514">
        <f>(((((157+5.7)*F45)/'Cálculos SJ'!$B$49*((((F43+F44)))))/'Cálculos SJ'!$F$49))+((((F46)*'Cálculos SJ5'!$E$55*(1.01*F48)+(F47)*'Cálculos SJ5'!$O$55*'Cálculos SJ5'!$R$55/1000000)/2000))+((((F49)*'Cálculos SJ6'!$E$56*(1.01*F51)+(F50)*'Cálculos SJ6'!$O$56*'Cálculos SJ6'!$R$56/1000000)/2000))</f>
        <v>142.86692408037169</v>
      </c>
      <c r="G55" s="514">
        <f>(((((157+5.7)*G45)/'Cálculos SJ'!$B$49*((((G43+G44)))))/'Cálculos SJ'!$F$49))+((((G46)*'Cálculos SJ5'!$E$55*(1.01*G48)+(G47)*'Cálculos SJ5'!$O$55*'Cálculos SJ5'!$R$55/1000000)/2000))+((((G49)*'Cálculos SJ6'!$E$56*(1.01*G51)+(G50)*'Cálculos SJ6'!$O$56*'Cálculos SJ6'!$R$56/1000000)/2000))</f>
        <v>148.68475933512181</v>
      </c>
      <c r="H55" s="514">
        <f>(((((157+5.7)*H45)/'Cálculos SJ'!$B$49*((((H43+H44)))))/'Cálculos SJ'!$F$49))+((((H46)*'Cálculos SJ5'!$E$55*(1.01*H48)+(H47)*'Cálculos SJ5'!$O$55*'Cálculos SJ5'!$R$55/1000000)/2000))+((((H49)*'Cálculos SJ6'!$E$56*(1.01*H51)+(H50)*'Cálculos SJ6'!$O$56*'Cálculos SJ6'!$R$56/1000000)/2000))</f>
        <v>158.54027334811508</v>
      </c>
      <c r="I55" s="514">
        <f>(((((157+5.7)*I45)/'Cálculos SJ'!$B$49*((((I43+I44)))))/'Cálculos SJ'!$F$49))+((((I46)*'Cálculos SJ5'!$E$55*(1.01*I48)+(I47)*'Cálculos SJ5'!$O$55*'Cálculos SJ5'!$R$55/1000000)/2000))+((((I49)*'Cálculos SJ6'!$E$56*(1.01*I51)+(I50)*'Cálculos SJ6'!$O$56*'Cálculos SJ6'!$R$56/1000000)/2000))</f>
        <v>135.79834642638431</v>
      </c>
      <c r="J55" s="514">
        <f>(((((157+5.7)*J45)/'Cálculos SJ'!$B$49*((((J43+J44)))))/'Cálculos SJ'!$F$49))+((((J46)*'Cálculos SJ5'!$E$55*(1.01*J48)+(J47)*'Cálculos SJ5'!$O$55*'Cálculos SJ5'!$R$55/1000000)/2000))+((((J49)*'Cálculos SJ6'!$E$56*(1.01*J51)+(J50)*'Cálculos SJ6'!$O$56*'Cálculos SJ6'!$R$56/1000000)/2000))</f>
        <v>153.79310723498568</v>
      </c>
      <c r="K55" s="514">
        <f>(((((157+5.7)*K45)/'Cálculos SJ'!$B$49*((((K43+K44)))))/'Cálculos SJ'!$F$49))+((((K46)*'Cálculos SJ5'!$E$55*(1.01*K48)+(K47)*'Cálculos SJ5'!$O$55*'Cálculos SJ5'!$R$55/1000000)/2000))+((((K49)*'Cálculos SJ6'!$E$56*(1.01*K51)+(K50)*'Cálculos SJ6'!$O$56*'Cálculos SJ6'!$R$56/1000000)/2000))</f>
        <v>120.71514205022579</v>
      </c>
      <c r="L55" s="514">
        <f>(((((157+5.7)*L45)/'Cálculos SJ'!$B$49*((((L43+L44)))))/'Cálculos SJ'!$F$49))+((((L46)*'Cálculos SJ5'!$E$55*(1.01*L48)+(L47)*'Cálculos SJ5'!$O$55*'Cálculos SJ5'!$R$55/1000000)/2000))+((((L49)*'Cálculos SJ6'!$E$56*(1.01*L51)+(L50)*'Cálculos SJ6'!$O$56*'Cálculos SJ6'!$R$56/1000000)/2000))</f>
        <v>142.81702048239779</v>
      </c>
      <c r="M55" s="514">
        <f>(((((157+5.7)*M45)/'Cálculos SJ'!$B$49*((((M43+M44)))))/'Cálculos SJ'!$F$49))+((((M46)*'Cálculos SJ5'!$E$55*(1.01*M48)+(M47)*'Cálculos SJ5'!$O$55*'Cálculos SJ5'!$R$55/1000000)/2000))+((((M49)*'Cálculos SJ6'!$E$56*(1.01*M51)+(M50)*'Cálculos SJ6'!$O$56*'Cálculos SJ6'!$R$56/1000000)/2000))</f>
        <v>140.26464486046487</v>
      </c>
      <c r="N55" s="514">
        <f>(((((157+5.7)*N45)/'Cálculos SJ'!$B$49*((((N43+N44)))))/'Cálculos SJ'!$F$49))+((((N46)*'Cálculos SJ5'!$E$55*(1.01*N48)+(N47)*'Cálculos SJ5'!$O$55*'Cálculos SJ5'!$R$55/1000000)/2000))+((((N49)*'Cálculos SJ6'!$E$56*(1.01*N51)+(N50)*'Cálculos SJ6'!$O$56*'Cálculos SJ6'!$R$56/1000000)/2000))</f>
        <v>115.68820149531035</v>
      </c>
      <c r="O55" s="532">
        <f t="shared" si="13"/>
        <v>1611.3021670471771</v>
      </c>
    </row>
    <row r="56" spans="1:15" ht="21.75" customHeight="1" x14ac:dyDescent="0.2">
      <c r="A56" s="513" t="s">
        <v>20</v>
      </c>
      <c r="B56" s="513" t="s">
        <v>96</v>
      </c>
      <c r="C56" s="514">
        <f>((('Cálculos SJ'!$B$57/'Cálculos SJ'!$B$58)*(C43))/'Cálculos SJ'!$F$58)+((('Cálculos SJ'!$B$65/'Cálculos SJ'!$B$66)*(C44))/'Cálculos SJ'!$F$66)+((((C46)*'Cálculos SJ5'!$E$20*'Cálculos SJ5'!$H$20+(C47)*'Cálculos SJ5'!$O$20*'Cálculos SJ5'!$R$20/1000000)/2000))+((((C49)*'Cálculos SJ6'!$E$20*'Cálculos SJ6'!$H$20+(C50)*'Cálculos SJ6'!$O$20*'Cálculos SJ6'!$R$20/1000000)/2000))</f>
        <v>67.336216881274254</v>
      </c>
      <c r="D56" s="514">
        <f>((('Cálculos SJ'!$B$57/'Cálculos SJ'!$B$58)*(D43))/'Cálculos SJ'!$F$58)+((('Cálculos SJ'!$B$65/'Cálculos SJ'!$B$66)*(D44))/'Cálculos SJ'!$F$66)+((((D46)*'Cálculos SJ5'!$E$20*'Cálculos SJ5'!$H$20+(D47)*'Cálculos SJ5'!$O$20*'Cálculos SJ5'!$R$20/1000000)/2000))+((((D49)*'Cálculos SJ6'!$E$20*'Cálculos SJ6'!$H$20+(D50)*'Cálculos SJ6'!$O$20*'Cálculos SJ6'!$R$20/1000000)/2000))</f>
        <v>98.222268263744638</v>
      </c>
      <c r="E56" s="514">
        <f>((('Cálculos SJ'!$B$57/'Cálculos SJ'!$B$58)*(E43))/'Cálculos SJ'!$F$58)+((('Cálculos SJ'!$B$65/'Cálculos SJ'!$B$66)*(E44))/'Cálculos SJ'!$F$66)+((((E46)*'Cálculos SJ5'!$E$20*'Cálculos SJ5'!$H$20+(E47)*'Cálculos SJ5'!$O$20*'Cálculos SJ5'!$R$20/1000000)/2000))+((((E49)*'Cálculos SJ6'!$E$20*'Cálculos SJ6'!$H$20+(E50)*'Cálculos SJ6'!$O$20*'Cálculos SJ6'!$R$20/1000000)/2000))</f>
        <v>116.43921611115437</v>
      </c>
      <c r="F56" s="514">
        <f>((('Cálculos SJ'!$B$57/'Cálculos SJ'!$B$58)*(F43))/'Cálculos SJ'!$F$58)+((('Cálculos SJ'!$B$65/'Cálculos SJ'!$B$66)*(F44))/'Cálculos SJ'!$F$66)+((((F46)*'Cálculos SJ5'!$E$20*'Cálculos SJ5'!$H$20+(F47)*'Cálculos SJ5'!$O$20*'Cálculos SJ5'!$R$20/1000000)/2000))+((((F49)*'Cálculos SJ6'!$E$20*'Cálculos SJ6'!$H$20+(F50)*'Cálculos SJ6'!$O$20*'Cálculos SJ6'!$R$20/1000000)/2000))</f>
        <v>108.51105712397219</v>
      </c>
      <c r="G56" s="514">
        <f>((('Cálculos SJ'!$B$57/'Cálculos SJ'!$B$58)*(G43))/'Cálculos SJ'!$F$58)+((('Cálculos SJ'!$B$65/'Cálculos SJ'!$B$66)*(G44))/'Cálculos SJ'!$F$66)+((((G46)*'Cálculos SJ5'!$E$20*'Cálculos SJ5'!$H$20+(G47)*'Cálculos SJ5'!$O$20*'Cálculos SJ5'!$R$20/1000000)/2000))+((((G49)*'Cálculos SJ6'!$E$20*'Cálculos SJ6'!$H$20+(G50)*'Cálculos SJ6'!$O$20*'Cálculos SJ6'!$R$20/1000000)/2000))</f>
        <v>122.24508830724633</v>
      </c>
      <c r="H56" s="514">
        <f>((('Cálculos SJ'!$B$57/'Cálculos SJ'!$B$58)*(H43))/'Cálculos SJ'!$F$58)+((('Cálculos SJ'!$B$65/'Cálculos SJ'!$B$66)*(H44))/'Cálculos SJ'!$F$66)+((((H46)*'Cálculos SJ5'!$E$20*'Cálculos SJ5'!$H$20+(H47)*'Cálculos SJ5'!$O$20*'Cálculos SJ5'!$R$20/1000000)/2000))+((((H49)*'Cálculos SJ6'!$E$20*'Cálculos SJ6'!$H$20+(H50)*'Cálculos SJ6'!$O$20*'Cálculos SJ6'!$R$20/1000000)/2000))</f>
        <v>162.38681503023429</v>
      </c>
      <c r="I56" s="514">
        <f>((('Cálculos SJ'!$B$57/'Cálculos SJ'!$B$58)*(I43))/'Cálculos SJ'!$F$58)+((('Cálculos SJ'!$B$65/'Cálculos SJ'!$B$66)*(I44))/'Cálculos SJ'!$F$66)+((((I46)*'Cálculos SJ5'!$E$20*'Cálculos SJ5'!$H$20+(I47)*'Cálculos SJ5'!$O$20*'Cálculos SJ5'!$R$20/1000000)/2000))+((((I49)*'Cálculos SJ6'!$E$20*'Cálculos SJ6'!$H$20+(I50)*'Cálculos SJ6'!$O$20*'Cálculos SJ6'!$R$20/1000000)/2000))</f>
        <v>145.97317374396997</v>
      </c>
      <c r="J56" s="514">
        <f>((('Cálculos SJ'!$B$57/'Cálculos SJ'!$B$58)*(J43))/'Cálculos SJ'!$F$58)+((('Cálculos SJ'!$B$65/'Cálculos SJ'!$B$66)*(J44))/'Cálculos SJ'!$F$66)+((((J46)*'Cálculos SJ5'!$E$20*'Cálculos SJ5'!$H$20+(J47)*'Cálculos SJ5'!$O$20*'Cálculos SJ5'!$R$20/1000000)/2000))+((((J49)*'Cálculos SJ6'!$E$20*'Cálculos SJ6'!$H$20+(J50)*'Cálculos SJ6'!$O$20*'Cálculos SJ6'!$R$20/1000000)/2000))</f>
        <v>135.2199150746159</v>
      </c>
      <c r="K56" s="514">
        <f>((('Cálculos SJ'!$B$57/'Cálculos SJ'!$B$58)*(K43))/'Cálculos SJ'!$F$58)+((('Cálculos SJ'!$B$65/'Cálculos SJ'!$B$66)*(K44))/'Cálculos SJ'!$F$66)+((((K46)*'Cálculos SJ5'!$E$20*'Cálculos SJ5'!$H$20+(K47)*'Cálculos SJ5'!$O$20*'Cálculos SJ5'!$R$20/1000000)/2000))+((((K49)*'Cálculos SJ6'!$E$20*'Cálculos SJ6'!$H$20+(K50)*'Cálculos SJ6'!$O$20*'Cálculos SJ6'!$R$20/1000000)/2000))</f>
        <v>137.0242036148972</v>
      </c>
      <c r="L56" s="514">
        <f>((('Cálculos SJ'!$B$57/'Cálculos SJ'!$B$58)*(L43))/'Cálculos SJ'!$F$58)+((('Cálculos SJ'!$B$65/'Cálculos SJ'!$B$66)*(L44))/'Cálculos SJ'!$F$66)+((((L46)*'Cálculos SJ5'!$E$20*'Cálculos SJ5'!$H$20+(L47)*'Cálculos SJ5'!$O$20*'Cálculos SJ5'!$R$20/1000000)/2000))+((((L49)*'Cálculos SJ6'!$E$20*'Cálculos SJ6'!$H$20+(L50)*'Cálculos SJ6'!$O$20*'Cálculos SJ6'!$R$20/1000000)/2000))</f>
        <v>154.19178079257853</v>
      </c>
      <c r="M56" s="514">
        <f>((('Cálculos SJ'!$B$57/'Cálculos SJ'!$B$58)*(M43))/'Cálculos SJ'!$F$58)+((('Cálculos SJ'!$B$65/'Cálculos SJ'!$B$66)*(M44))/'Cálculos SJ'!$F$66)+((((M46)*'Cálculos SJ5'!$E$20*'Cálculos SJ5'!$H$20+(M47)*'Cálculos SJ5'!$O$20*'Cálculos SJ5'!$R$20/1000000)/2000))+((((M49)*'Cálculos SJ6'!$E$20*'Cálculos SJ6'!$H$20+(M50)*'Cálculos SJ6'!$O$20*'Cálculos SJ6'!$R$20/1000000)/2000))</f>
        <v>139.9351707012994</v>
      </c>
      <c r="N56" s="514">
        <f>((('Cálculos SJ'!$B$57/'Cálculos SJ'!$B$58)*(N43))/'Cálculos SJ'!$F$58)+((('Cálculos SJ'!$B$65/'Cálculos SJ'!$B$66)*(N44))/'Cálculos SJ'!$F$66)+((((N46)*'Cálculos SJ5'!$E$20*'Cálculos SJ5'!$H$20+(N47)*'Cálculos SJ5'!$O$20*'Cálculos SJ5'!$R$20/1000000)/2000))+((((N49)*'Cálculos SJ6'!$E$20*'Cálculos SJ6'!$H$20+(N50)*'Cálculos SJ6'!$O$20*'Cálculos SJ6'!$R$20/1000000)/2000))</f>
        <v>91.633878004876919</v>
      </c>
      <c r="O56" s="532">
        <f t="shared" si="13"/>
        <v>1479.1187836498639</v>
      </c>
    </row>
    <row r="57" spans="1:15" ht="21.75" customHeight="1" x14ac:dyDescent="0.2">
      <c r="A57" s="513" t="s">
        <v>22</v>
      </c>
      <c r="B57" s="513" t="s">
        <v>96</v>
      </c>
      <c r="C57" s="514">
        <f>((('Cálculos SJ'!$B$73/'Cálculos SJ'!$B$74)*(((((C43+C44))))))/'Cálculos SJ'!$F$74)+((((C46)*'Cálculos SJ5'!$E$32*'Cálculos SJ5'!$H$32+(C47)*'Cálculos SJ5'!$O$32*'Cálculos SJ5'!$R$32/1000000)/2000))+((((C49)*'Cálculos SJ6'!$E$32*'Cálculos SJ6'!$H$32+(C50)*'Cálculos SJ6'!$O$32*'Cálculos SJ6'!$R$32/1000000)/2000))</f>
        <v>2.1349724064051605</v>
      </c>
      <c r="D57" s="514">
        <f>((('Cálculos SJ'!$B$73/'Cálculos SJ'!$B$74)*(((((D43+D44))))))/'Cálculos SJ'!$F$74)+((((D46)*'Cálculos SJ5'!$E$32*'Cálculos SJ5'!$H$32+(D47)*'Cálculos SJ5'!$O$32*'Cálculos SJ5'!$R$32/1000000)/2000))+((((D49)*'Cálculos SJ6'!$E$32*'Cálculos SJ6'!$H$32+(D50)*'Cálculos SJ6'!$O$32*'Cálculos SJ6'!$R$32/1000000)/2000))</f>
        <v>3.4433350641618601</v>
      </c>
      <c r="E57" s="514">
        <f>((('Cálculos SJ'!$B$73/'Cálculos SJ'!$B$74)*(((((E43+E44))))))/'Cálculos SJ'!$F$74)+((((E46)*'Cálculos SJ5'!$E$32*'Cálculos SJ5'!$H$32+(E47)*'Cálculos SJ5'!$O$32*'Cálculos SJ5'!$R$32/1000000)/2000))+((((E49)*'Cálculos SJ6'!$E$32*'Cálculos SJ6'!$H$32+(E50)*'Cálculos SJ6'!$O$32*'Cálculos SJ6'!$R$32/1000000)/2000))</f>
        <v>4.8936421723102201</v>
      </c>
      <c r="F57" s="514">
        <f>((('Cálculos SJ'!$B$73/'Cálculos SJ'!$B$74)*(((((F43+F44))))))/'Cálculos SJ'!$F$74)+((((F46)*'Cálculos SJ5'!$E$32*'Cálculos SJ5'!$H$32+(F47)*'Cálculos SJ5'!$O$32*'Cálculos SJ5'!$R$32/1000000)/2000))+((((F49)*'Cálculos SJ6'!$E$32*'Cálculos SJ6'!$H$32+(F50)*'Cálculos SJ6'!$O$32*'Cálculos SJ6'!$R$32/1000000)/2000))</f>
        <v>4.2517332976074602</v>
      </c>
      <c r="G57" s="514">
        <f>((('Cálculos SJ'!$B$73/'Cálculos SJ'!$B$74)*(((((G43+G44))))))/'Cálculos SJ'!$F$74)+((((G46)*'Cálculos SJ5'!$E$32*'Cálculos SJ5'!$H$32+(G47)*'Cálculos SJ5'!$O$32*'Cálculos SJ5'!$R$32/1000000)/2000))+((((G49)*'Cálculos SJ6'!$E$32*'Cálculos SJ6'!$H$32+(G50)*'Cálculos SJ6'!$O$32*'Cálculos SJ6'!$R$32/1000000)/2000))</f>
        <v>3.2532057036855595</v>
      </c>
      <c r="H57" s="514">
        <f>((('Cálculos SJ'!$B$73/'Cálculos SJ'!$B$74)*(((((H43+H44))))))/'Cálculos SJ'!$F$74)+((((H46)*'Cálculos SJ5'!$E$32*'Cálculos SJ5'!$H$32+(H47)*'Cálculos SJ5'!$O$32*'Cálculos SJ5'!$R$32/1000000)/2000))+((((H49)*'Cálculos SJ6'!$E$32*'Cálculos SJ6'!$H$32+(H50)*'Cálculos SJ6'!$O$32*'Cálculos SJ6'!$R$32/1000000)/2000))</f>
        <v>4.52318290990398</v>
      </c>
      <c r="I57" s="514">
        <f>((('Cálculos SJ'!$B$73/'Cálculos SJ'!$B$74)*(((((I43+I44))))))/'Cálculos SJ'!$F$74)+((((I46)*'Cálculos SJ5'!$E$32*'Cálculos SJ5'!$H$32+(I47)*'Cálculos SJ5'!$O$32*'Cálculos SJ5'!$R$32/1000000)/2000))+((((I49)*'Cálculos SJ6'!$E$32*'Cálculos SJ6'!$H$32+(I50)*'Cálculos SJ6'!$O$32*'Cálculos SJ6'!$R$32/1000000)/2000))</f>
        <v>4.7764732332103499</v>
      </c>
      <c r="J57" s="514">
        <f>((('Cálculos SJ'!$B$73/'Cálculos SJ'!$B$74)*(((((J43+J44))))))/'Cálculos SJ'!$F$74)+((((J46)*'Cálculos SJ5'!$E$32*'Cálculos SJ5'!$H$32+(J47)*'Cálculos SJ5'!$O$32*'Cálculos SJ5'!$R$32/1000000)/2000))+((((J49)*'Cálculos SJ6'!$E$32*'Cálculos SJ6'!$H$32+(J50)*'Cálculos SJ6'!$O$32*'Cálculos SJ6'!$R$32/1000000)/2000))</f>
        <v>3.7340935257761103</v>
      </c>
      <c r="K57" s="514">
        <f>((('Cálculos SJ'!$B$73/'Cálculos SJ'!$B$74)*(((((K43+K44))))))/'Cálculos SJ'!$F$74)+((((K46)*'Cálculos SJ5'!$E$32*'Cálculos SJ5'!$H$32+(K47)*'Cálculos SJ5'!$O$32*'Cálculos SJ5'!$R$32/1000000)/2000))+((((K49)*'Cálculos SJ6'!$E$32*'Cálculos SJ6'!$H$32+(K50)*'Cálculos SJ6'!$O$32*'Cálculos SJ6'!$R$32/1000000)/2000))</f>
        <v>4.1619699053373003</v>
      </c>
      <c r="L57" s="514">
        <f>((('Cálculos SJ'!$B$73/'Cálculos SJ'!$B$74)*(((((L43+L44))))))/'Cálculos SJ'!$F$74)+((((L46)*'Cálculos SJ5'!$E$32*'Cálculos SJ5'!$H$32+(L47)*'Cálculos SJ5'!$O$32*'Cálculos SJ5'!$R$32/1000000)/2000))+((((L49)*'Cálculos SJ6'!$E$32*'Cálculos SJ6'!$H$32+(L50)*'Cálculos SJ6'!$O$32*'Cálculos SJ6'!$R$32/1000000)/2000))</f>
        <v>5.8640977956287994</v>
      </c>
      <c r="M57" s="514">
        <f>((('Cálculos SJ'!$B$73/'Cálculos SJ'!$B$74)*(((((M43+M44))))))/'Cálculos SJ'!$F$74)+((((M46)*'Cálculos SJ5'!$E$32*'Cálculos SJ5'!$H$32+(M47)*'Cálculos SJ5'!$O$32*'Cálculos SJ5'!$R$32/1000000)/2000))+((((M49)*'Cálculos SJ6'!$E$32*'Cálculos SJ6'!$H$32+(M50)*'Cálculos SJ6'!$O$32*'Cálculos SJ6'!$R$32/1000000)/2000))</f>
        <v>4.1698193067585603</v>
      </c>
      <c r="N57" s="514">
        <f>((('Cálculos SJ'!$B$73/'Cálculos SJ'!$B$74)*(((((N43+N44))))))/'Cálculos SJ'!$F$74)+((((N46)*'Cálculos SJ5'!$E$32*'Cálculos SJ5'!$H$32+(N47)*'Cálculos SJ5'!$O$32*'Cálculos SJ5'!$R$32/1000000)/2000))+((((N49)*'Cálculos SJ6'!$E$32*'Cálculos SJ6'!$H$32+(N50)*'Cálculos SJ6'!$O$32*'Cálculos SJ6'!$R$32/1000000)/2000))</f>
        <v>2.29337562573357</v>
      </c>
      <c r="O57" s="532">
        <f t="shared" si="13"/>
        <v>47.499900946518935</v>
      </c>
    </row>
    <row r="58" spans="1:15" ht="21.75" customHeight="1" x14ac:dyDescent="0.2">
      <c r="A58" s="513" t="s">
        <v>21</v>
      </c>
      <c r="B58" s="513" t="s">
        <v>96</v>
      </c>
      <c r="C58" s="514">
        <f>((('Cálculos SJ'!$B$82/'Cálculos SJ'!$B$83)*((((((C43+C44)))))))/'Cálculos SJ'!$F$83)+((((C46)*'Cálculos SJ5'!$E$26*'Cálculos SJ5'!$H$26+(C47)*'Cálculos SJ5'!$O$26*'Cálculos SJ5'!$R$26/1000000)/2000))+((((C49)*'Cálculos SJ6'!$E$26*'Cálculos SJ6'!$H$26+(C50)*'Cálculos SJ6'!$O$26*'Cálculos SJ6'!$R$26/1000000)/2000))</f>
        <v>13.108606994939329</v>
      </c>
      <c r="D58" s="514">
        <f>((('Cálculos SJ'!$B$82/'Cálculos SJ'!$B$83)*((((((D43+D44)))))))/'Cálculos SJ'!$F$83)+((((D46)*'Cálculos SJ5'!$E$26*'Cálculos SJ5'!$H$26+(D47)*'Cálculos SJ5'!$O$26*'Cálculos SJ5'!$R$26/1000000)/2000))+((((D49)*'Cálculos SJ6'!$E$26*'Cálculos SJ6'!$H$26+(D50)*'Cálculos SJ6'!$O$26*'Cálculos SJ6'!$R$26/1000000)/2000))</f>
        <v>15.725793110855358</v>
      </c>
      <c r="E58" s="514">
        <f>((('Cálculos SJ'!$B$82/'Cálculos SJ'!$B$83)*((((((E43+E44)))))))/'Cálculos SJ'!$F$83)+((((E46)*'Cálculos SJ5'!$E$26*'Cálculos SJ5'!$H$26+(E47)*'Cálculos SJ5'!$O$26*'Cálculos SJ5'!$R$26/1000000)/2000))+((((E49)*'Cálculos SJ6'!$E$26*'Cálculos SJ6'!$H$26+(E50)*'Cálculos SJ6'!$O$26*'Cálculos SJ6'!$R$26/1000000)/2000))</f>
        <v>16.529173479108913</v>
      </c>
      <c r="F58" s="514">
        <f>((('Cálculos SJ'!$B$82/'Cálculos SJ'!$B$83)*((((((F43+F44)))))))/'Cálculos SJ'!$F$83)+((((F46)*'Cálculos SJ5'!$E$26*'Cálculos SJ5'!$H$26+(F47)*'Cálculos SJ5'!$O$26*'Cálculos SJ5'!$R$26/1000000)/2000))+((((F49)*'Cálculos SJ6'!$E$26*'Cálculos SJ6'!$H$26+(F50)*'Cálculos SJ6'!$O$26*'Cálculos SJ6'!$R$26/1000000)/2000))</f>
        <v>16.469344774919495</v>
      </c>
      <c r="G58" s="514">
        <f>((('Cálculos SJ'!$B$82/'Cálculos SJ'!$B$83)*((((((G43+G44)))))))/'Cálculos SJ'!$F$83)+((((G46)*'Cálculos SJ5'!$E$26*'Cálculos SJ5'!$H$26+(G47)*'Cálculos SJ5'!$O$26*'Cálculos SJ5'!$R$26/1000000)/2000))+((((G49)*'Cálculos SJ6'!$E$26*'Cálculos SJ6'!$H$26+(G50)*'Cálculos SJ6'!$O$26*'Cálculos SJ6'!$R$26/1000000)/2000))</f>
        <v>23.437603526919702</v>
      </c>
      <c r="H58" s="514">
        <f>((('Cálculos SJ'!$B$82/'Cálculos SJ'!$B$83)*((((((H43+H44)))))))/'Cálculos SJ'!$F$83)+((((H46)*'Cálculos SJ5'!$E$26*'Cálculos SJ5'!$H$26+(H47)*'Cálculos SJ5'!$O$26*'Cálculos SJ5'!$R$26/1000000)/2000))+((((H49)*'Cálculos SJ6'!$E$26*'Cálculos SJ6'!$H$26+(H50)*'Cálculos SJ6'!$O$26*'Cálculos SJ6'!$R$26/1000000)/2000))</f>
        <v>31.774379623480705</v>
      </c>
      <c r="I58" s="514">
        <f>((('Cálculos SJ'!$B$82/'Cálculos SJ'!$B$83)*((((((I43+I44)))))))/'Cálculos SJ'!$F$83)+((((I46)*'Cálculos SJ5'!$E$26*'Cálculos SJ5'!$H$26+(I47)*'Cálculos SJ5'!$O$26*'Cálculos SJ5'!$R$26/1000000)/2000))+((((I49)*'Cálculos SJ6'!$E$26*'Cálculos SJ6'!$H$26+(I50)*'Cálculos SJ6'!$O$26*'Cálculos SJ6'!$R$26/1000000)/2000))</f>
        <v>26.632898868000588</v>
      </c>
      <c r="J58" s="514">
        <f>((('Cálculos SJ'!$B$82/'Cálculos SJ'!$B$83)*((((((J43+J44)))))))/'Cálculos SJ'!$F$83)+((((J46)*'Cálculos SJ5'!$E$26*'Cálculos SJ5'!$H$26+(J47)*'Cálculos SJ5'!$O$26*'Cálculos SJ5'!$R$26/1000000)/2000))+((((J49)*'Cálculos SJ6'!$E$26*'Cálculos SJ6'!$H$26+(J50)*'Cálculos SJ6'!$O$26*'Cálculos SJ6'!$R$26/1000000)/2000))</f>
        <v>25.677084343710394</v>
      </c>
      <c r="K58" s="514">
        <f>((('Cálculos SJ'!$B$82/'Cálculos SJ'!$B$83)*((((((K43+K44)))))))/'Cálculos SJ'!$F$83)+((((K46)*'Cálculos SJ5'!$E$26*'Cálculos SJ5'!$H$26+(K47)*'Cálculos SJ5'!$O$26*'Cálculos SJ5'!$R$26/1000000)/2000))+((((K49)*'Cálculos SJ6'!$E$26*'Cálculos SJ6'!$H$26+(K50)*'Cálculos SJ6'!$O$26*'Cálculos SJ6'!$R$26/1000000)/2000))</f>
        <v>26.087807926319289</v>
      </c>
      <c r="L58" s="514">
        <f>((('Cálculos SJ'!$B$82/'Cálculos SJ'!$B$83)*((((((L43+L44)))))))/'Cálculos SJ'!$F$83)+((((L46)*'Cálculos SJ5'!$E$26*'Cálculos SJ5'!$H$26+(L47)*'Cálculos SJ5'!$O$26*'Cálculos SJ5'!$R$26/1000000)/2000))+((((L49)*'Cálculos SJ6'!$E$26*'Cálculos SJ6'!$H$26+(L50)*'Cálculos SJ6'!$O$26*'Cálculos SJ6'!$R$26/1000000)/2000))</f>
        <v>25.775744325753358</v>
      </c>
      <c r="M58" s="514">
        <f>((('Cálculos SJ'!$B$82/'Cálculos SJ'!$B$83)*((((((M43+M44)))))))/'Cálculos SJ'!$F$83)+((((M46)*'Cálculos SJ5'!$E$26*'Cálculos SJ5'!$H$26+(M47)*'Cálculos SJ5'!$O$26*'Cálculos SJ5'!$R$26/1000000)/2000))+((((M49)*'Cálculos SJ6'!$E$26*'Cálculos SJ6'!$H$26+(M50)*'Cálculos SJ6'!$O$26*'Cálculos SJ6'!$R$26/1000000)/2000))</f>
        <v>26.024027823327316</v>
      </c>
      <c r="N58" s="514">
        <f>((('Cálculos SJ'!$B$82/'Cálculos SJ'!$B$83)*((((((N43+N44)))))))/'Cálculos SJ'!$F$83)+((((N46)*'Cálculos SJ5'!$E$26*'Cálculos SJ5'!$H$26+(N47)*'Cálculos SJ5'!$O$26*'Cálculos SJ5'!$R$26/1000000)/2000))+((((N49)*'Cálculos SJ6'!$E$26*'Cálculos SJ6'!$H$26+(N50)*'Cálculos SJ6'!$O$26*'Cálculos SJ6'!$R$26/1000000)/2000))</f>
        <v>17.077313234737414</v>
      </c>
      <c r="O58" s="532">
        <f t="shared" si="13"/>
        <v>264.31977803207184</v>
      </c>
    </row>
    <row r="59" spans="1:15" ht="21.75" customHeight="1" x14ac:dyDescent="0.2">
      <c r="A59" s="513" t="s">
        <v>42</v>
      </c>
      <c r="B59" s="513" t="s">
        <v>96</v>
      </c>
      <c r="C59" s="514">
        <f>((('Cálculos SJ'!$B$40*(((C43+C44)))*'Cálculos SJ'!$H$40)/'Cálculos SJ'!$F$41))+((((C46)*'Cálculos SJ5'!$E$61*'Cálculos SJ5'!$H$61+(C47)*'Cálculos SJ5'!$O$61*'Cálculos SJ5'!$R$61/1000000)/2000))+((((C49)*'Cálculos SJ6'!$E$62*'Cálculos SJ6'!$H$62+(C50)*'Cálculos SJ6'!$O$62*'Cálculos SJ6'!$R$62/1000000)/2000))</f>
        <v>4.4416361448974273</v>
      </c>
      <c r="D59" s="514">
        <f>((('Cálculos SJ'!$B$40*(((D43+D44)))*'Cálculos SJ'!$H$40)/'Cálculos SJ'!$F$41))+((((D46)*'Cálculos SJ5'!$E$61*'Cálculos SJ5'!$H$61+(D47)*'Cálculos SJ5'!$O$61*'Cálculos SJ5'!$R$61/1000000)/2000))+((((D49)*'Cálculos SJ6'!$E$62*'Cálculos SJ6'!$H$62+(D50)*'Cálculos SJ6'!$O$62*'Cálculos SJ6'!$R$62/1000000)/2000))</f>
        <v>12.203955785345238</v>
      </c>
      <c r="E59" s="514">
        <f>((('Cálculos SJ'!$B$40*(((E43+E44)))*'Cálculos SJ'!$H$40)/'Cálculos SJ'!$F$41))+((((E46)*'Cálculos SJ5'!$E$61*'Cálculos SJ5'!$H$61+(E47)*'Cálculos SJ5'!$O$61*'Cálculos SJ5'!$R$61/1000000)/2000))+((((E49)*'Cálculos SJ6'!$E$62*'Cálculos SJ6'!$H$62+(E50)*'Cálculos SJ6'!$O$62*'Cálculos SJ6'!$R$62/1000000)/2000))</f>
        <v>14.959812945642426</v>
      </c>
      <c r="F59" s="514">
        <f>((('Cálculos SJ'!$B$40*(((F43+F44)))*'Cálculos SJ'!$H$40)/'Cálculos SJ'!$F$41))+((((F46)*'Cálculos SJ5'!$E$61*'Cálculos SJ5'!$H$61+(F47)*'Cálculos SJ5'!$O$61*'Cálculos SJ5'!$R$61/1000000)/2000))+((((F49)*'Cálculos SJ6'!$E$62*'Cálculos SJ6'!$H$62+(F50)*'Cálculos SJ6'!$O$62*'Cálculos SJ6'!$R$62/1000000)/2000))</f>
        <v>13.183957204514117</v>
      </c>
      <c r="G59" s="514">
        <f>((('Cálculos SJ'!$B$40*(((G43+G44)))*'Cálculos SJ'!$H$40)/'Cálculos SJ'!$F$41))+((((G46)*'Cálculos SJ5'!$E$61*'Cálculos SJ5'!$H$61+(G47)*'Cálculos SJ5'!$O$61*'Cálculos SJ5'!$R$61/1000000)/2000))+((((G49)*'Cálculos SJ6'!$E$62*'Cálculos SJ6'!$H$62+(G50)*'Cálculos SJ6'!$O$62*'Cálculos SJ6'!$R$62/1000000)/2000))</f>
        <v>11.998485170471149</v>
      </c>
      <c r="H59" s="514">
        <f>((('Cálculos SJ'!$B$40*(((H43+H44)))*'Cálculos SJ'!$H$40)/'Cálculos SJ'!$F$41))+((((H46)*'Cálculos SJ5'!$E$61*'Cálculos SJ5'!$H$61+(H47)*'Cálculos SJ5'!$O$61*'Cálculos SJ5'!$R$61/1000000)/2000))+((((H49)*'Cálculos SJ6'!$E$62*'Cálculos SJ6'!$H$62+(H50)*'Cálculos SJ6'!$O$62*'Cálculos SJ6'!$R$62/1000000)/2000))</f>
        <v>13.523710278723234</v>
      </c>
      <c r="I59" s="514">
        <f>((('Cálculos SJ'!$B$40*(((I43+I44)))*'Cálculos SJ'!$H$40)/'Cálculos SJ'!$F$41))+((((I46)*'Cálculos SJ5'!$E$61*'Cálculos SJ5'!$H$61+(I47)*'Cálculos SJ5'!$O$61*'Cálculos SJ5'!$R$61/1000000)/2000))+((((I49)*'Cálculos SJ6'!$E$62*'Cálculos SJ6'!$H$62+(I50)*'Cálculos SJ6'!$O$62*'Cálculos SJ6'!$R$62/1000000)/2000))</f>
        <v>12.762044605456605</v>
      </c>
      <c r="J59" s="514">
        <f>((('Cálculos SJ'!$B$40*(((J43+J44)))*'Cálculos SJ'!$H$40)/'Cálculos SJ'!$F$41))+((((J46)*'Cálculos SJ5'!$E$61*'Cálculos SJ5'!$H$61+(J47)*'Cálculos SJ5'!$O$61*'Cálculos SJ5'!$R$61/1000000)/2000))+((((J49)*'Cálculos SJ6'!$E$62*'Cálculos SJ6'!$H$62+(J50)*'Cálculos SJ6'!$O$62*'Cálculos SJ6'!$R$62/1000000)/2000))</f>
        <v>13.125937304145216</v>
      </c>
      <c r="K59" s="514">
        <f>((('Cálculos SJ'!$B$40*(((K43+K44)))*'Cálculos SJ'!$H$40)/'Cálculos SJ'!$F$41))+((((K46)*'Cálculos SJ5'!$E$61*'Cálculos SJ5'!$H$61+(K47)*'Cálculos SJ5'!$O$61*'Cálculos SJ5'!$R$61/1000000)/2000))+((((K49)*'Cálculos SJ6'!$E$62*'Cálculos SJ6'!$H$62+(K50)*'Cálculos SJ6'!$O$62*'Cálculos SJ6'!$R$62/1000000)/2000))</f>
        <v>11.24005424626599</v>
      </c>
      <c r="L59" s="514">
        <f>((('Cálculos SJ'!$B$40*(((L43+L44)))*'Cálculos SJ'!$H$40)/'Cálculos SJ'!$F$41))+((((L46)*'Cálculos SJ5'!$E$61*'Cálculos SJ5'!$H$61+(L47)*'Cálculos SJ5'!$O$61*'Cálculos SJ5'!$R$61/1000000)/2000))+((((L49)*'Cálculos SJ6'!$E$62*'Cálculos SJ6'!$H$62+(L50)*'Cálculos SJ6'!$O$62*'Cálculos SJ6'!$R$62/1000000)/2000))</f>
        <v>14.46728624862504</v>
      </c>
      <c r="M59" s="514">
        <f>((('Cálculos SJ'!$B$40*(((M43+M44)))*'Cálculos SJ'!$H$40)/'Cálculos SJ'!$F$41))+((((M46)*'Cálculos SJ5'!$E$61*'Cálculos SJ5'!$H$61+(M47)*'Cálculos SJ5'!$O$61*'Cálculos SJ5'!$R$61/1000000)/2000))+((((M49)*'Cálculos SJ6'!$E$62*'Cálculos SJ6'!$H$62+(M50)*'Cálculos SJ6'!$O$62*'Cálculos SJ6'!$R$62/1000000)/2000))</f>
        <v>13.231497496527648</v>
      </c>
      <c r="N59" s="514">
        <f>((('Cálculos SJ'!$B$40*(((N43+N44)))*'Cálculos SJ'!$H$40)/'Cálculos SJ'!$F$41))+((((N46)*'Cálculos SJ5'!$E$61*'Cálculos SJ5'!$H$61+(N47)*'Cálculos SJ5'!$O$61*'Cálculos SJ5'!$R$61/1000000)/2000))+((((N49)*'Cálculos SJ6'!$E$62*'Cálculos SJ6'!$H$62+(N50)*'Cálculos SJ6'!$O$62*'Cálculos SJ6'!$R$62/1000000)/2000))</f>
        <v>10.797925314797332</v>
      </c>
      <c r="O59" s="532">
        <f t="shared" si="13"/>
        <v>145.93630274541141</v>
      </c>
    </row>
    <row r="60" spans="1:15" ht="21.75" customHeight="1" x14ac:dyDescent="0.2">
      <c r="A60" s="513" t="s">
        <v>23</v>
      </c>
      <c r="B60" s="513" t="s">
        <v>96</v>
      </c>
      <c r="C60" s="519">
        <f>((('Cálculos SJ'!$B$90/'Cálculos SJ'!$B$91)*(((((((C43+C44))))))))/'Cálculos SJ'!$F$91)+((((C46)*'Cálculos SJ5'!$E$67*'Cálculos SJ5'!$H$67+(C47)*'Cálculos SJ5'!$O$67*'Cálculos SJ5'!$R$67/1000000)/2000))+((((C49)*'Cálculos SJ6'!$E$68*'Cálculos SJ6'!$H$68+(C50)*'Cálculos SJ6'!$O$68*'Cálculos SJ6'!$R$68/1000000)/2000))</f>
        <v>1.7665721413200001E-3</v>
      </c>
      <c r="D60" s="519">
        <f>((('Cálculos SJ'!$B$90/'Cálculos SJ'!$B$91)*(((((((D43+D44))))))))/'Cálculos SJ'!$F$91)+((((D46)*'Cálculos SJ5'!$E$67*'Cálculos SJ5'!$H$67+(D47)*'Cálculos SJ5'!$O$67*'Cálculos SJ5'!$R$67/1000000)/2000))+((((D49)*'Cálculos SJ6'!$E$68*'Cálculos SJ6'!$H$68+(D50)*'Cálculos SJ6'!$O$68*'Cálculos SJ6'!$R$68/1000000)/2000))</f>
        <v>4.4061819374999998E-3</v>
      </c>
      <c r="E60" s="519">
        <f>((('Cálculos SJ'!$B$90/'Cálculos SJ'!$B$91)*(((((((E43+E44))))))))/'Cálculos SJ'!$F$91)+((((E46)*'Cálculos SJ5'!$E$67*'Cálculos SJ5'!$H$67+(E47)*'Cálculos SJ5'!$O$67*'Cálculos SJ5'!$R$67/1000000)/2000))+((((E49)*'Cálculos SJ6'!$E$68*'Cálculos SJ6'!$H$68+(E50)*'Cálculos SJ6'!$O$68*'Cálculos SJ6'!$R$68/1000000)/2000))</f>
        <v>6.3487831176000011E-3</v>
      </c>
      <c r="F60" s="519">
        <f>((('Cálculos SJ'!$B$90/'Cálculos SJ'!$B$91)*(((((((F43+F44))))))))/'Cálculos SJ'!$F$91)+((((F46)*'Cálculos SJ5'!$E$67*'Cálculos SJ5'!$H$67+(F47)*'Cálculos SJ5'!$O$67*'Cálculos SJ5'!$R$67/1000000)/2000))+((((F49)*'Cálculos SJ6'!$E$68*'Cálculos SJ6'!$H$68+(F50)*'Cálculos SJ6'!$O$68*'Cálculos SJ6'!$R$68/1000000)/2000))</f>
        <v>5.3468413017600004E-3</v>
      </c>
      <c r="G60" s="519">
        <f>((('Cálculos SJ'!$B$90/'Cálculos SJ'!$B$91)*(((((((G43+G44))))))))/'Cálculos SJ'!$F$91)+((((G46)*'Cálculos SJ5'!$E$67*'Cálculos SJ5'!$H$67+(G47)*'Cálculos SJ5'!$O$67*'Cálculos SJ5'!$R$67/1000000)/2000))+((((G49)*'Cálculos SJ6'!$E$68*'Cálculos SJ6'!$H$68+(G50)*'Cálculos SJ6'!$O$68*'Cálculos SJ6'!$R$68/1000000)/2000))</f>
        <v>3.4154144971800006E-3</v>
      </c>
      <c r="H60" s="519">
        <f>((('Cálculos SJ'!$B$90/'Cálculos SJ'!$B$91)*(((((((H43+H44))))))))/'Cálculos SJ'!$F$91)+((((H46)*'Cálculos SJ5'!$E$67*'Cálculos SJ5'!$H$67+(H47)*'Cálculos SJ5'!$O$67*'Cálculos SJ5'!$R$67/1000000)/2000))+((((H49)*'Cálculos SJ6'!$E$68*'Cálculos SJ6'!$H$68+(H50)*'Cálculos SJ6'!$O$68*'Cálculos SJ6'!$R$68/1000000)/2000))</f>
        <v>4.1861588983200006E-3</v>
      </c>
      <c r="I60" s="519">
        <f>((('Cálculos SJ'!$B$90/'Cálculos SJ'!$B$91)*(((((((I43+I44))))))))/'Cálculos SJ'!$F$91)+((((I46)*'Cálculos SJ5'!$E$67*'Cálculos SJ5'!$H$67+(I47)*'Cálculos SJ5'!$O$67*'Cálculos SJ5'!$R$67/1000000)/2000))+((((I49)*'Cálculos SJ6'!$E$68*'Cálculos SJ6'!$H$68+(I50)*'Cálculos SJ6'!$O$68*'Cálculos SJ6'!$R$68/1000000)/2000))</f>
        <v>4.7914166848800014E-3</v>
      </c>
      <c r="J60" s="519">
        <f>((('Cálculos SJ'!$B$90/'Cálculos SJ'!$B$91)*(((((((J43+J44))))))))/'Cálculos SJ'!$F$91)+((((J46)*'Cálculos SJ5'!$E$67*'Cálculos SJ5'!$H$67+(J47)*'Cálculos SJ5'!$O$67*'Cálculos SJ5'!$R$67/1000000)/2000))+((((J49)*'Cálculos SJ6'!$E$68*'Cálculos SJ6'!$H$68+(J50)*'Cálculos SJ6'!$O$68*'Cálculos SJ6'!$R$68/1000000)/2000))</f>
        <v>3.9091951306800005E-3</v>
      </c>
      <c r="K60" s="519">
        <f>((('Cálculos SJ'!$B$90/'Cálculos SJ'!$B$91)*(((((((K43+K44))))))))/'Cálculos SJ'!$F$91)+((((K46)*'Cálculos SJ5'!$E$67*'Cálculos SJ5'!$H$67+(K47)*'Cálculos SJ5'!$O$67*'Cálculos SJ5'!$R$67/1000000)/2000))+((((K49)*'Cálculos SJ6'!$E$68*'Cálculos SJ6'!$H$68+(K50)*'Cálculos SJ6'!$O$68*'Cálculos SJ6'!$R$68/1000000)/2000))</f>
        <v>3.9163733691600002E-3</v>
      </c>
      <c r="L60" s="519">
        <f>((('Cálculos SJ'!$B$90/'Cálculos SJ'!$B$91)*(((((((L43+L44))))))))/'Cálculos SJ'!$F$91)+((((L46)*'Cálculos SJ5'!$E$67*'Cálculos SJ5'!$H$67+(L47)*'Cálculos SJ5'!$O$67*'Cálculos SJ5'!$R$67/1000000)/2000))+((((L49)*'Cálculos SJ6'!$E$68*'Cálculos SJ6'!$H$68+(L50)*'Cálculos SJ6'!$O$68*'Cálculos SJ6'!$R$68/1000000)/2000))</f>
        <v>6.3180813612000002E-3</v>
      </c>
      <c r="M60" s="519">
        <f>((('Cálculos SJ'!$B$90/'Cálculos SJ'!$B$91)*(((((((M43+M44))))))))/'Cálculos SJ'!$F$91)+((((M46)*'Cálculos SJ5'!$E$67*'Cálculos SJ5'!$H$67+(M47)*'Cálculos SJ5'!$O$67*'Cálculos SJ5'!$R$67/1000000)/2000))+((((M49)*'Cálculos SJ6'!$E$68*'Cálculos SJ6'!$H$68+(M50)*'Cálculos SJ6'!$O$68*'Cálculos SJ6'!$R$68/1000000)/2000))</f>
        <v>4.3355412013199998E-3</v>
      </c>
      <c r="N60" s="519">
        <f>((('Cálculos SJ'!$B$90/'Cálculos SJ'!$B$91)*(((((((N43+N44))))))))/'Cálculos SJ'!$F$91)+((((N46)*'Cálculos SJ5'!$E$67*'Cálculos SJ5'!$H$67+(N47)*'Cálculos SJ5'!$O$67*'Cálculos SJ5'!$R$67/1000000)/2000))+((((N49)*'Cálculos SJ6'!$E$68*'Cálculos SJ6'!$H$68+(N50)*'Cálculos SJ6'!$O$68*'Cálculos SJ6'!$R$68/1000000)/2000))</f>
        <v>2.8290145493400009E-3</v>
      </c>
      <c r="O60" s="533">
        <f t="shared" si="13"/>
        <v>5.1569574190260002E-2</v>
      </c>
    </row>
    <row r="61" spans="1:15" ht="21.75" customHeight="1" x14ac:dyDescent="0.2">
      <c r="A61" s="513" t="s">
        <v>24</v>
      </c>
      <c r="B61" s="513" t="s">
        <v>96</v>
      </c>
      <c r="C61" s="514">
        <f>('Cálculos SJ'!$B$99*((((((((C43+C44))))))))/'Cálculos SJ'!$F$100)+((((C46)*'Cálculos SJ5'!$E$73+(C47)*'Cálculos SJ5'!$O$73)/'Cálculos SJ5'!$H$74))+((((C49)*'Cálculos SJ6'!$E$74+(C50)*'Cálculos SJ6'!$O$74)/'Cálculos SJ6'!$H$75))</f>
        <v>79568.940970221462</v>
      </c>
      <c r="D61" s="514">
        <f>('Cálculos SJ'!$B$99*((((((((D43+D44))))))))/'Cálculos SJ'!$F$100)+((((D46)*'Cálculos SJ5'!$E$73+(D47)*'Cálculos SJ5'!$O$73)/'Cálculos SJ5'!$H$74))+((((D49)*'Cálculos SJ6'!$E$74+(D50)*'Cálculos SJ6'!$O$74)/'Cálculos SJ6'!$H$75))</f>
        <v>102765.88679140464</v>
      </c>
      <c r="E61" s="514">
        <f>('Cálculos SJ'!$B$99*((((((((E43+E44))))))))/'Cálculos SJ'!$F$100)+((((E46)*'Cálculos SJ5'!$E$73+(E47)*'Cálculos SJ5'!$O$73)/'Cálculos SJ5'!$H$74))+((((E49)*'Cálculos SJ6'!$E$74+(E50)*'Cálculos SJ6'!$O$74)/'Cálculos SJ6'!$H$75))</f>
        <v>126709.7293087127</v>
      </c>
      <c r="F61" s="514">
        <f>('Cálculos SJ'!$B$99*((((((((F43+F44))))))))/'Cálculos SJ'!$F$100)+((((F46)*'Cálculos SJ5'!$E$73+(F47)*'Cálculos SJ5'!$O$73)/'Cálculos SJ5'!$H$74))+((((F49)*'Cálculos SJ6'!$E$74+(F50)*'Cálculos SJ6'!$O$74)/'Cálculos SJ6'!$H$75))</f>
        <v>117800.9181186051</v>
      </c>
      <c r="G61" s="514">
        <f>('Cálculos SJ'!$B$99*((((((((G43+G44))))))))/'Cálculos SJ'!$F$100)+((((G46)*'Cálculos SJ5'!$E$73+(G47)*'Cálculos SJ5'!$O$73)/'Cálculos SJ5'!$H$74))+((((G49)*'Cálculos SJ6'!$E$74+(G50)*'Cálculos SJ6'!$O$74)/'Cálculos SJ6'!$H$75))</f>
        <v>128779.00315880368</v>
      </c>
      <c r="H61" s="514">
        <f>('Cálculos SJ'!$B$99*((((((((H43+H44))))))))/'Cálculos SJ'!$F$100)+((((H46)*'Cálculos SJ5'!$E$73+(H47)*'Cálculos SJ5'!$O$73)/'Cálculos SJ5'!$H$74))+((((H49)*'Cálculos SJ6'!$E$74+(H50)*'Cálculos SJ6'!$O$74)/'Cálculos SJ6'!$H$75))</f>
        <v>179296.41899344645</v>
      </c>
      <c r="I61" s="514">
        <f>('Cálculos SJ'!$B$99*((((((((I43+I44))))))))/'Cálculos SJ'!$F$100)+((((I46)*'Cálculos SJ5'!$E$73+(I47)*'Cálculos SJ5'!$O$73)/'Cálculos SJ5'!$H$74))+((((I49)*'Cálculos SJ6'!$E$74+(I50)*'Cálculos SJ6'!$O$74)/'Cálculos SJ6'!$H$75))</f>
        <v>164966.97381646873</v>
      </c>
      <c r="J61" s="514">
        <f>('Cálculos SJ'!$B$99*((((((((J43+J44))))))))/'Cálculos SJ'!$F$100)+((((J46)*'Cálculos SJ5'!$E$73+(J47)*'Cálculos SJ5'!$O$73)/'Cálculos SJ5'!$H$74))+((((J49)*'Cálculos SJ6'!$E$74+(J50)*'Cálculos SJ6'!$O$74)/'Cálculos SJ6'!$H$75))</f>
        <v>143894.65656384989</v>
      </c>
      <c r="K61" s="514">
        <f>('Cálculos SJ'!$B$99*((((((((K43+K44))))))))/'Cálculos SJ'!$F$100)+((((K46)*'Cálculos SJ5'!$E$73+(K47)*'Cálculos SJ5'!$O$73)/'Cálculos SJ5'!$H$74))+((((K49)*'Cálculos SJ6'!$E$74+(K50)*'Cálculos SJ6'!$O$74)/'Cálculos SJ6'!$H$75))</f>
        <v>154423.58140799499</v>
      </c>
      <c r="L61" s="514">
        <f>('Cálculos SJ'!$B$99*((((((((L43+L44))))))))/'Cálculos SJ'!$F$100)+((((L46)*'Cálculos SJ5'!$E$73+(L47)*'Cálculos SJ5'!$O$73)/'Cálculos SJ5'!$H$74))+((((L49)*'Cálculos SJ6'!$E$74+(L50)*'Cálculos SJ6'!$O$74)/'Cálculos SJ6'!$H$75))</f>
        <v>177826.24044452194</v>
      </c>
      <c r="M61" s="514">
        <f>('Cálculos SJ'!$B$99*((((((((M43+M44))))))))/'Cálculos SJ'!$F$100)+((((M46)*'Cálculos SJ5'!$E$73+(M47)*'Cálculos SJ5'!$O$73)/'Cálculos SJ5'!$H$74))+((((M49)*'Cálculos SJ6'!$E$74+(M50)*'Cálculos SJ6'!$O$74)/'Cálculos SJ6'!$H$75))</f>
        <v>152237.25885938076</v>
      </c>
      <c r="N61" s="514">
        <f>('Cálculos SJ'!$B$99*((((((((N43+N44))))))))/'Cálculos SJ'!$F$100)+((((N46)*'Cálculos SJ5'!$E$73+(N47)*'Cálculos SJ5'!$O$73)/'Cálculos SJ5'!$H$74))+((((N49)*'Cálculos SJ6'!$E$74+(N50)*'Cálculos SJ6'!$O$74)/'Cálculos SJ6'!$H$75))</f>
        <v>90425.487869260338</v>
      </c>
      <c r="O61" s="532">
        <f t="shared" si="13"/>
        <v>1618695.0963026709</v>
      </c>
    </row>
    <row r="62" spans="1:15" ht="31.5" customHeight="1" x14ac:dyDescent="0.2">
      <c r="A62" s="609" t="s">
        <v>36</v>
      </c>
      <c r="B62" s="609"/>
      <c r="C62" s="525"/>
      <c r="D62" s="525"/>
      <c r="E62" s="525"/>
      <c r="F62" s="525"/>
      <c r="G62" s="525"/>
      <c r="H62" s="525"/>
      <c r="I62" s="525"/>
      <c r="J62" s="525"/>
      <c r="K62" s="525"/>
      <c r="L62" s="525"/>
      <c r="M62" s="525"/>
      <c r="N62" s="525"/>
      <c r="O62" s="525"/>
    </row>
    <row r="63" spans="1:15" ht="21.75" hidden="1" customHeight="1" x14ac:dyDescent="0.2">
      <c r="A63" s="513" t="s">
        <v>186</v>
      </c>
      <c r="B63" s="513" t="s">
        <v>94</v>
      </c>
      <c r="C63" s="526">
        <f>Aguirre!$F$5</f>
        <v>5394714.3600000003</v>
      </c>
      <c r="D63" s="526">
        <f>Aguirre!$F$6</f>
        <v>5925545.6399999987</v>
      </c>
      <c r="E63" s="526">
        <f>Aguirre!$F$7</f>
        <v>0</v>
      </c>
      <c r="F63" s="526">
        <f>Aguirre!$F$8</f>
        <v>0</v>
      </c>
      <c r="G63" s="526">
        <f>Aguirre!$F$9</f>
        <v>0</v>
      </c>
      <c r="H63" s="526">
        <f>Aguirre!$F$10</f>
        <v>3380857.2</v>
      </c>
      <c r="I63" s="526">
        <f>Aguirre!$F$11</f>
        <v>10680771.359999999</v>
      </c>
      <c r="J63" s="526">
        <f>Aguirre!$F$12</f>
        <v>10824896.460000001</v>
      </c>
      <c r="K63" s="526">
        <f>Aguirre!$F$13</f>
        <v>13078637.039999999</v>
      </c>
      <c r="L63" s="526">
        <f>Aguirre!$F$14</f>
        <v>11404992.48</v>
      </c>
      <c r="M63" s="526">
        <f>Aguirre!$F$15</f>
        <v>11758365.360000001</v>
      </c>
      <c r="N63" s="526">
        <f>Aguirre!$F$16</f>
        <v>7281480.7800000003</v>
      </c>
      <c r="O63" s="527">
        <f>SUM(C63:N63)</f>
        <v>79730260.679999992</v>
      </c>
    </row>
    <row r="64" spans="1:15" ht="21.75" hidden="1" customHeight="1" x14ac:dyDescent="0.2">
      <c r="A64" s="513" t="s">
        <v>398</v>
      </c>
      <c r="B64" s="513" t="s">
        <v>383</v>
      </c>
      <c r="C64" s="530">
        <f>IF(C63=0,0,(Aguirre!$D$5*Aguirre!$H$5+Aguirre!$E$5*Aguirre!$I$5)/C63)</f>
        <v>0.49</v>
      </c>
      <c r="D64" s="530">
        <f>IF(D63=0,0,(Aguirre!$D$6*Aguirre!$H$6+Aguirre!$E$6*Aguirre!$I$6)/D63)</f>
        <v>0.49</v>
      </c>
      <c r="E64" s="530">
        <f>IF(E63=0,0,(Aguirre!$D$7*Aguirre!$H$7+Aguirre!$E$7*Aguirre!$I$7)/E63)</f>
        <v>0</v>
      </c>
      <c r="F64" s="530">
        <f>IF(F63=0,0,(Aguirre!$D$8*Aguirre!$H$8+Aguirre!$E$8*Aguirre!$I$8)/F63)</f>
        <v>0</v>
      </c>
      <c r="G64" s="530">
        <f>IF(G63=0,0,(Aguirre!$D$9*Aguirre!$H$9+Aguirre!$E$9*Aguirre!$I$9)/G63)</f>
        <v>0</v>
      </c>
      <c r="H64" s="530">
        <f>IF(H63=0,0,(Aguirre!$D$10*Aguirre!$H$10+Aguirre!$E$10*Aguirre!$I$10)/H63)</f>
        <v>0.49000000000000005</v>
      </c>
      <c r="I64" s="530">
        <f>IF(I63=0,0,(Aguirre!$D$11*Aguirre!$H$11+Aguirre!$E$11*Aguirre!$I$11)/I63)</f>
        <v>0.49</v>
      </c>
      <c r="J64" s="530">
        <f>IF(J63=0,0,(Aguirre!$D$12*Aguirre!$H$12+Aguirre!$E$12*Aguirre!$I$12)/J63)</f>
        <v>0.48999999999999994</v>
      </c>
      <c r="K64" s="530">
        <f>IF(K63=0,0,(Aguirre!$D$13*Aguirre!$H$13+Aguirre!$E$13*Aguirre!$I$13)/K63)</f>
        <v>0.49</v>
      </c>
      <c r="L64" s="530">
        <f>IF(L63=0,0,(Aguirre!$D$14*Aguirre!$H$14+Aguirre!$E$14*Aguirre!$I$14)/L63)</f>
        <v>0.48</v>
      </c>
      <c r="M64" s="530">
        <f>IF(M63=0,0,(Aguirre!$D$15*Aguirre!$H$15+Aguirre!$E$15*Aguirre!$I$15)/M63)</f>
        <v>0.47</v>
      </c>
      <c r="N64" s="530">
        <f>IF(N63=0,0,(Aguirre!$D$16*Aguirre!$H$16+Aguirre!$E$16*Aguirre!$I$16)/N63)</f>
        <v>0.45</v>
      </c>
      <c r="O64" s="531">
        <f>IF(O63=0,0,SUMPRODUCT(C64:N64,C63:N63)/O63)</f>
        <v>0.48196695887185714</v>
      </c>
    </row>
    <row r="65" spans="1:15" ht="21.75" hidden="1" customHeight="1" x14ac:dyDescent="0.2">
      <c r="A65" s="513" t="s">
        <v>399</v>
      </c>
      <c r="B65" s="513" t="s">
        <v>94</v>
      </c>
      <c r="C65" s="526">
        <f>SUM(Aguirre!$B$23,Aguirre!$C$23,Aguirre!$D$23,Aguirre!$E$23,Aguirre!$F$23,Aguirre!$H$23,Aguirre!$I$23,Aguirre!$J$23,Aguirre!$B$41,Aguirre!$C$41)</f>
        <v>2922604</v>
      </c>
      <c r="D65" s="526">
        <f>SUM(Aguirre!$B$24,Aguirre!$C$24,Aguirre!$D$24,Aguirre!$E$24,Aguirre!$F$24,Aguirre!$H$24,Aguirre!$I$24,Aguirre!$J$24,Aguirre!$B$42,Aguirre!$C$42)</f>
        <v>2210972</v>
      </c>
      <c r="E65" s="526">
        <f>SUM(Aguirre!$B$25,Aguirre!$C$25,Aguirre!$D$25,Aguirre!$E$25,Aguirre!$F$25,Aguirre!$H$25,Aguirre!$I$25,Aguirre!$J$25,Aguirre!$B$43,Aguirre!$C$43)</f>
        <v>3218323</v>
      </c>
      <c r="F65" s="526">
        <f>SUM(Aguirre!$B$26,Aguirre!$C$26,Aguirre!$D$26,Aguirre!$E$26,Aguirre!$F$26,Aguirre!$H$26,Aguirre!$I$26,Aguirre!$J$26,Aguirre!$B$44,Aguirre!$C$44)</f>
        <v>5307576</v>
      </c>
      <c r="G65" s="526">
        <f>SUM(Aguirre!$B$27,Aguirre!$C$27,Aguirre!$D$27,Aguirre!$E$27,Aguirre!$F$27,Aguirre!$H$27,Aguirre!$I$27,Aguirre!$J$27,Aguirre!$B$45,Aguirre!$C$45)</f>
        <v>5232400</v>
      </c>
      <c r="H65" s="526">
        <f>SUM(Aguirre!$B$28,Aguirre!$C$28,Aguirre!$D$28,Aguirre!$E$28,Aguirre!$F$28,Aguirre!$H$28,Aguirre!$I$28,Aguirre!$J$28,Aguirre!$B$46,Aguirre!$C$46)</f>
        <v>8114183</v>
      </c>
      <c r="I65" s="526">
        <f>SUM(Aguirre!$B$29,Aguirre!$C$29,Aguirre!$D$29,Aguirre!$E$29,Aguirre!$F$29,Aguirre!$H$29,Aguirre!$I$29,Aguirre!$J$29,Aguirre!$B$47,Aguirre!$C$47)</f>
        <v>7775172</v>
      </c>
      <c r="J65" s="526">
        <f>SUM(Aguirre!$B$30,Aguirre!$C$30,Aguirre!$D$30,Aguirre!$E$30,Aguirre!$F$30,Aguirre!$H$30,Aguirre!$I$30,Aguirre!$J$30,Aguirre!$B$48,Aguirre!$C$48)</f>
        <v>6544497</v>
      </c>
      <c r="K65" s="526">
        <f>SUM(Aguirre!$B$31,Aguirre!$C$31,Aguirre!$D$31,Aguirre!$E$31,Aguirre!$F$31,Aguirre!$H$31,Aguirre!$I$31,Aguirre!$J$31,Aguirre!$B$49,Aguirre!$C$49)</f>
        <v>4105517</v>
      </c>
      <c r="L65" s="526">
        <f>SUM(Aguirre!$B$32,Aguirre!$C$32,Aguirre!$D$32,Aguirre!$E$32,Aguirre!$F$32,Aguirre!$H$32,Aguirre!$I$32,Aguirre!$J$32,Aguirre!$B$50,Aguirre!$C$50)</f>
        <v>7282309</v>
      </c>
      <c r="M65" s="526">
        <f>SUM(Aguirre!$B$33,Aguirre!$C$33,Aguirre!$D$33,Aguirre!$E$33,Aguirre!$F$33,Aguirre!$H$33,Aguirre!$I$33,Aguirre!$J$33,Aguirre!$B$51,Aguirre!$C$51)</f>
        <v>6538403</v>
      </c>
      <c r="N65" s="526">
        <f>SUM(Aguirre!$B$34,Aguirre!$C$34,Aguirre!$D$34,Aguirre!$E$34,Aguirre!$F$34,Aguirre!$H$34,Aguirre!$I$34,Aguirre!$J$34,Aguirre!$B$52,Aguirre!$C$52)</f>
        <v>4119495</v>
      </c>
      <c r="O65" s="527">
        <f>SUM(C65:N65)</f>
        <v>63371451</v>
      </c>
    </row>
    <row r="66" spans="1:15" ht="21.75" hidden="1" customHeight="1" x14ac:dyDescent="0.2">
      <c r="A66" s="513" t="s">
        <v>388</v>
      </c>
      <c r="B66" s="513" t="s">
        <v>383</v>
      </c>
      <c r="C66" s="530">
        <f>IF(C65=0,0,(Aguirre!$B$23*Aguirre!$K$23+Aguirre!$C$23*Aguirre!$L$23+Aguirre!$D$23*Aguirre!$M$23+Aguirre!$E$23*Aguirre!$N$23+Aguirre!$F$23*Aguirre!$O$23+Aguirre!$H$23*Aguirre!$P$23+Aguirre!$I$23*Aguirre!$Q$23+Aguirre!$J$23*Aguirre!$R$23+Aguirre!$B$41*Aguirre!$D$41+Aguirre!$C$41*Aguirre!$E$41)/C65)</f>
        <v>1E-3</v>
      </c>
      <c r="D66" s="530">
        <f>IF(D65=0,0,(Aguirre!$B$24*Aguirre!$K$24+Aguirre!$C$24*Aguirre!$L$24+Aguirre!$D$24*Aguirre!$M$24+Aguirre!$E$24*Aguirre!$N$24+Aguirre!$F$24*Aguirre!$O$24+Aguirre!$H$24*Aguirre!$P$24+Aguirre!$I$24*Aguirre!$Q$24+Aguirre!$J$24*Aguirre!$R$24+Aguirre!$B$42*Aguirre!$D$42+Aguirre!$C$42*Aguirre!$E$42)/D65)</f>
        <v>9.999999999999998E-4</v>
      </c>
      <c r="E66" s="530">
        <f>IF(E65=0,0,(Aguirre!$B$25*Aguirre!$K$25+Aguirre!$C$25*Aguirre!$L$25+Aguirre!$D$25*Aguirre!$M$25+Aguirre!$E$25*Aguirre!$N$25+Aguirre!$F$25*Aguirre!$O$25+Aguirre!$H$25*Aguirre!$P$25+Aguirre!$I$25*Aguirre!$Q$25+Aguirre!$J$25*Aguirre!$R$25+Aguirre!$B$43*Aguirre!$D$43+Aguirre!$C$43*Aguirre!$E$43)/E65)</f>
        <v>1E-3</v>
      </c>
      <c r="F66" s="530">
        <f>IF(F65=0,0,(Aguirre!$B$26*Aguirre!$K$26+Aguirre!$C$26*Aguirre!$L$26+Aguirre!$D$26*Aguirre!$M$26+Aguirre!$E$26*Aguirre!$N$26+Aguirre!$F$26*Aguirre!$O$26+Aguirre!$H$26*Aguirre!$P$26+Aguirre!$I$26*Aguirre!$Q$26+Aguirre!$J$26*Aguirre!$R$26+Aguirre!$B$44*Aguirre!$D$44+Aguirre!$C$44*Aguirre!$E$44)/F65)</f>
        <v>1E-3</v>
      </c>
      <c r="G66" s="530">
        <f>IF(G65=0,0,(Aguirre!$B$27*Aguirre!$K$27+Aguirre!$C$27*Aguirre!$L$27+Aguirre!$D$27*Aguirre!$M$27+Aguirre!$E$27*Aguirre!$N$27+Aguirre!$F$27*Aguirre!$O$27+Aguirre!$H$27*Aguirre!$P$27+Aguirre!$I$27*Aguirre!$Q$27+Aguirre!$J$27*Aguirre!$R$27+Aguirre!$B$45*Aguirre!$D$45+Aguirre!$C$45*Aguirre!$E$45)/G65)</f>
        <v>1E-3</v>
      </c>
      <c r="H66" s="530">
        <f>IF(H65=0,0,(Aguirre!$B$28*Aguirre!$K$28+Aguirre!$C$28*Aguirre!$L$28+Aguirre!$D$28*Aguirre!$M$28+Aguirre!$E$28*Aguirre!$N$28+Aguirre!$F$28*Aguirre!$O$28+Aguirre!$H$28*Aguirre!$P$28+Aguirre!$I$28*Aguirre!$Q$28+Aguirre!$J$28*Aguirre!$R$28+Aguirre!$B$46*Aguirre!$D$46+Aguirre!$C$46*Aguirre!$E$46)/H65)</f>
        <v>1E-3</v>
      </c>
      <c r="I66" s="530">
        <f>IF(I65=0,0,(Aguirre!$B$29*Aguirre!$K$29+Aguirre!$C$29*Aguirre!$L$29+Aguirre!$D$29*Aguirre!$M$29+Aguirre!$E$29*Aguirre!$N$29+Aguirre!$F$29*Aguirre!$O$29+Aguirre!$H$29*Aguirre!$P$29+Aguirre!$I$29*Aguirre!$Q$29+Aguirre!$J$29*Aguirre!$R$29+Aguirre!$B$47*Aguirre!$D$47+Aguirre!$C$47*Aguirre!$E$47)/I65)</f>
        <v>1E-3</v>
      </c>
      <c r="J66" s="530">
        <f>IF(J65=0,0,(Aguirre!$B$30*Aguirre!$K$30+Aguirre!$C$30*Aguirre!$L$30+Aguirre!$D$30*Aguirre!$M$30+Aguirre!$E$30*Aguirre!$N$30+Aguirre!$F$30*Aguirre!$O$30+Aguirre!$H$30*Aguirre!$P$30+Aguirre!$I$30*Aguirre!$Q$30+Aguirre!$J$30*Aguirre!$R$30+Aguirre!$B$48*Aguirre!$D$48+Aguirre!$C$48*Aguirre!$E$48)/J65)</f>
        <v>9.999999999999998E-4</v>
      </c>
      <c r="K66" s="530">
        <f>IF(K65=0,0,(Aguirre!$B$31*Aguirre!$K$31+Aguirre!$C$31*Aguirre!$L$31+Aguirre!$D$31*Aguirre!$M$31+Aguirre!$E$31*Aguirre!$N$31+Aguirre!$F$31*Aguirre!$O$31+Aguirre!$H$31*Aguirre!$P$31+Aguirre!$I$31*Aguirre!$Q$31+Aguirre!$J$31*Aguirre!$R$31+Aguirre!$B$49*Aguirre!$D$49+Aguirre!$C$49*Aguirre!$E$49)/K65)</f>
        <v>1E-3</v>
      </c>
      <c r="L66" s="530">
        <f>IF(L65=0,0,(Aguirre!$B$32*Aguirre!$K$32+Aguirre!$C$32*Aguirre!$L$32+Aguirre!$D$32*Aguirre!$M$32+Aguirre!$E$32*Aguirre!$N$32+Aguirre!$F$32*Aguirre!$O$32+Aguirre!$H$32*Aguirre!$P$32+Aguirre!$I$32*Aguirre!$Q$32+Aguirre!$J$32*Aguirre!$R$32+Aguirre!$B$50*Aguirre!$D$50+Aguirre!$C$50*Aguirre!$E$50)/L65)</f>
        <v>1.0000000000000002E-3</v>
      </c>
      <c r="M66" s="530">
        <f>IF(M65=0,0,(Aguirre!$B$33*Aguirre!$K$33+Aguirre!$C$33*Aguirre!$L$33+Aguirre!$D$33*Aguirre!$M$33+Aguirre!$E$33*Aguirre!$N$33+Aguirre!$F$33*Aguirre!$O$33+Aguirre!$H$33*Aguirre!$P$33+Aguirre!$I$33*Aguirre!$Q$33+Aguirre!$J$33*Aguirre!$R$33+Aguirre!$B$51*Aguirre!$D$51+Aguirre!$C$51*Aguirre!$E$51)/M65)</f>
        <v>1E-3</v>
      </c>
      <c r="N66" s="530">
        <f>IF(N65=0,0,(Aguirre!$B$34*Aguirre!$K$34+Aguirre!$C$34*Aguirre!$L$34+Aguirre!$D$34*Aguirre!$M$34+Aguirre!$E$34*Aguirre!$N$34+Aguirre!$F$34*Aguirre!$O$34+Aguirre!$H$34*Aguirre!$P$34+Aguirre!$I$34*Aguirre!$Q$34+Aguirre!$J$34*Aguirre!$R$34+Aguirre!$B$52*Aguirre!$D$52+Aguirre!$C$52*Aguirre!$E$52)/N65)</f>
        <v>1E-3</v>
      </c>
      <c r="O66" s="531">
        <f>IF(O65=0,0,SUMPRODUCT(C66:N66,C65:N65)/O65)</f>
        <v>1E-3</v>
      </c>
    </row>
    <row r="67" spans="1:15" ht="21.75" customHeight="1" x14ac:dyDescent="0.2">
      <c r="A67" s="513" t="s">
        <v>17</v>
      </c>
      <c r="B67" s="513" t="s">
        <v>96</v>
      </c>
      <c r="C67" s="514">
        <f>(((((9.19*C64)+3.22)/'Cálculos AG'!$B$19)*(C63))/'Cálculos AG'!$F$19)+((('Cálculos AG'!$K$18*(C65)*'Cálculos AG'!$O$18)/'Cálculos AG'!$Q$19))</f>
        <v>23.251875348858</v>
      </c>
      <c r="D67" s="514">
        <f>(((((9.19*D64)+3.22)/'Cálculos AG'!$B$19)*(D63))/'Cálculos AG'!$F$19)+((('Cálculos AG'!$K$18*(D65)*'Cálculos AG'!$O$18)/'Cálculos AG'!$Q$19))</f>
        <v>24.712475582141998</v>
      </c>
      <c r="E67" s="514">
        <f>(((((9.19*E64)+3.22)/'Cálculos AG'!$B$19)*(E63))/'Cálculos AG'!$F$19)+((('Cálculos AG'!$K$18*(E65)*'Cálculos AG'!$O$18)/'Cálculos AG'!$Q$19))</f>
        <v>2.6647714440000003</v>
      </c>
      <c r="F67" s="514">
        <f>(((((9.19*F64)+3.22)/'Cálculos AG'!$B$19)*(F63))/'Cálculos AG'!$F$19)+((('Cálculos AG'!$K$18*(F65)*'Cálculos AG'!$O$18)/'Cálculos AG'!$Q$19))</f>
        <v>4.3946729280000012</v>
      </c>
      <c r="G67" s="514">
        <f>(((((9.19*G64)+3.22)/'Cálculos AG'!$B$19)*(G63))/'Cálculos AG'!$F$19)+((('Cálculos AG'!$K$18*(G65)*'Cálculos AG'!$O$18)/'Cálculos AG'!$Q$19))</f>
        <v>4.3324272000000006</v>
      </c>
      <c r="H67" s="514">
        <f>(((((9.19*H64)+3.22)/'Cálculos AG'!$B$19)*(H63))/'Cálculos AG'!$F$19)+((('Cálculos AG'!$K$18*(H65)*'Cálculos AG'!$O$18)/'Cálculos AG'!$Q$19))</f>
        <v>19.773892644660002</v>
      </c>
      <c r="I67" s="514">
        <f>(((((9.19*I64)+3.22)/'Cálculos AG'!$B$19)*(I63))/'Cálculos AG'!$F$19)+((('Cálculos AG'!$K$18*(I65)*'Cálculos AG'!$O$18)/'Cálculos AG'!$Q$19))</f>
        <v>47.682175061208</v>
      </c>
      <c r="J67" s="514">
        <f>(((((9.19*J64)+3.22)/'Cálculos AG'!$B$19)*(J63))/'Cálculos AG'!$F$19)+((('Cálculos AG'!$K$18*(J65)*'Cálculos AG'!$O$18)/'Cálculos AG'!$Q$19))</f>
        <v>47.219722441112992</v>
      </c>
      <c r="K67" s="514">
        <f>(((((9.19*K64)+3.22)/'Cálculos AG'!$B$19)*(K63))/'Cálculos AG'!$F$19)+((('Cálculos AG'!$K$18*(K65)*'Cálculos AG'!$O$18)/'Cálculos AG'!$Q$19))</f>
        <v>53.903178937811994</v>
      </c>
      <c r="L67" s="514">
        <f>(((((9.19*L64)+3.22)/'Cálculos AG'!$B$19)*(L63))/'Cálculos AG'!$F$19)+((('Cálculos AG'!$K$18*(L65)*'Cálculos AG'!$O$18)/'Cálculos AG'!$Q$19))</f>
        <v>49.546641158688004</v>
      </c>
      <c r="M67" s="514">
        <f>(((((9.19*M64)+3.22)/'Cálculos AG'!$B$19)*(M63))/'Cálculos AG'!$F$19)+((('Cálculos AG'!$K$18*(M65)*'Cálculos AG'!$O$18)/'Cálculos AG'!$Q$19))</f>
        <v>49.738719663323998</v>
      </c>
      <c r="N67" s="514">
        <f>(((((9.19*N64)+3.22)/'Cálculos AG'!$B$19)*(N63))/'Cálculos AG'!$F$19)+((('Cálculos AG'!$K$18*(N65)*'Cálculos AG'!$O$18)/'Cálculos AG'!$Q$19))</f>
        <v>30.190407798644998</v>
      </c>
      <c r="O67" s="532">
        <f t="shared" ref="O67:O73" si="14">SUM(C67:N67)</f>
        <v>357.41096020844998</v>
      </c>
    </row>
    <row r="68" spans="1:15" ht="21.75" customHeight="1" x14ac:dyDescent="0.2">
      <c r="A68" s="513" t="s">
        <v>377</v>
      </c>
      <c r="B68" s="513" t="s">
        <v>96</v>
      </c>
      <c r="C68" s="514">
        <f>((((157*C64)/'Cálculos AG'!$B$29)*(C63))/'Cálculos AG'!$F$29)+((((1.01*C66)*(C65)*'Cálculos AG'!$O$28)/'Cálculos AG'!$Q$29))</f>
        <v>207.71136413016001</v>
      </c>
      <c r="D68" s="514">
        <f>((((157*D64)/'Cálculos AG'!$B$29)*(D63))/'Cálculos AG'!$F$29)+((((1.01*D66)*(D65)*'Cálculos AG'!$O$28)/'Cálculos AG'!$Q$29))</f>
        <v>228.08019568127995</v>
      </c>
      <c r="E68" s="514">
        <f>((((157*E64)/'Cálculos AG'!$B$29)*(E63))/'Cálculos AG'!$F$29)+((((1.01*E66)*(E65)*'Cálculos AG'!$O$28)/'Cálculos AG'!$Q$29))</f>
        <v>0.22428492987000001</v>
      </c>
      <c r="F68" s="514">
        <f>((((157*F64)/'Cálculos AG'!$B$29)*(F63))/'Cálculos AG'!$F$29)+((((1.01*F66)*(F65)*'Cálculos AG'!$O$28)/'Cálculos AG'!$Q$29))</f>
        <v>0.3698849714400001</v>
      </c>
      <c r="G68" s="514">
        <f>((((157*G64)/'Cálculos AG'!$B$29)*(G63))/'Cálculos AG'!$F$29)+((((1.01*G66)*(G65)*'Cálculos AG'!$O$28)/'Cálculos AG'!$Q$29))</f>
        <v>0.36464595600000005</v>
      </c>
      <c r="H68" s="514">
        <f>((((157*H64)/'Cálculos AG'!$B$29)*(H63))/'Cálculos AG'!$F$29)+((((1.01*H66)*(H65)*'Cálculos AG'!$O$28)/'Cálculos AG'!$Q$29))</f>
        <v>130.61014961127003</v>
      </c>
      <c r="I68" s="514">
        <f>((((157*I64)/'Cálculos AG'!$B$29)*(I63))/'Cálculos AG'!$F$29)+((((1.01*I66)*(I65)*'Cálculos AG'!$O$28)/'Cálculos AG'!$Q$29))</f>
        <v>411.37772209907996</v>
      </c>
      <c r="J68" s="514">
        <f>((((157*J64)/'Cálculos AG'!$B$29)*(J63))/'Cálculos AG'!$F$29)+((((1.01*J66)*(J65)*'Cálculos AG'!$O$28)/'Cálculos AG'!$Q$29))</f>
        <v>416.83572832983003</v>
      </c>
      <c r="K68" s="514">
        <f>((((157*K64)/'Cálculos AG'!$B$29)*(K63))/'Cálculos AG'!$F$29)+((((1.01*K66)*(K65)*'Cálculos AG'!$O$28)/'Cálculos AG'!$Q$29))</f>
        <v>503.35588722332994</v>
      </c>
      <c r="L68" s="514">
        <f>((((157*L64)/'Cálculos AG'!$B$29)*(L63))/'Cálculos AG'!$F$29)+((((1.01*L66)*(L65)*'Cálculos AG'!$O$28)/'Cálculos AG'!$Q$29))</f>
        <v>430.24762076061</v>
      </c>
      <c r="M68" s="514">
        <f>((((157*M64)/'Cálculos AG'!$B$29)*(M63))/'Cálculos AG'!$F$29)+((((1.01*M66)*(M65)*'Cálculos AG'!$O$28)/'Cálculos AG'!$Q$29))</f>
        <v>434.28055126227002</v>
      </c>
      <c r="N68" s="514">
        <f>((((157*N64)/'Cálculos AG'!$B$29)*(N63))/'Cálculos AG'!$F$29)+((((1.01*N66)*(N65)*'Cálculos AG'!$O$28)/'Cálculos AG'!$Q$29))</f>
        <v>257.50539616005005</v>
      </c>
      <c r="O68" s="532">
        <f t="shared" si="14"/>
        <v>3020.9634311151899</v>
      </c>
    </row>
    <row r="69" spans="1:15" ht="21.75" customHeight="1" x14ac:dyDescent="0.2">
      <c r="A69" s="513" t="s">
        <v>20</v>
      </c>
      <c r="B69" s="513" t="s">
        <v>96</v>
      </c>
      <c r="C69" s="514">
        <f>('Cálculos AG'!$B$38*(C63)*0.15/2000)+((('Cálculos AG'!$K$38*(C65)*'Cálculos AG'!$O$38)/'Cálculos AG'!$Q$39))</f>
        <v>310.97969529</v>
      </c>
      <c r="D69" s="514">
        <f>('Cálculos AG'!$B$38*(D63)*0.15/2000)+((('Cálculos AG'!$K$38*(D65)*'Cálculos AG'!$O$38)/'Cálculos AG'!$Q$39))</f>
        <v>280.90747442999998</v>
      </c>
      <c r="E69" s="514">
        <f>('Cálculos AG'!$B$38*(E63)*0.15/2000)+((('Cálculos AG'!$K$38*(E65)*'Cálculos AG'!$O$38)/'Cálculos AG'!$Q$39))</f>
        <v>195.41657256000002</v>
      </c>
      <c r="F69" s="514">
        <f>('Cálculos AG'!$B$38*(F63)*0.15/2000)+((('Cálculos AG'!$K$38*(F65)*'Cálculos AG'!$O$38)/'Cálculos AG'!$Q$39))</f>
        <v>322.27601472000003</v>
      </c>
      <c r="G69" s="514">
        <f>('Cálculos AG'!$B$38*(G63)*0.15/2000)+((('Cálculos AG'!$K$38*(G65)*'Cálculos AG'!$O$38)/'Cálculos AG'!$Q$39))</f>
        <v>317.71132800000004</v>
      </c>
      <c r="H69" s="514">
        <f>('Cálculos AG'!$B$38*(H63)*0.15/2000)+((('Cálculos AG'!$K$38*(H65)*'Cálculos AG'!$O$38)/'Cálculos AG'!$Q$39))</f>
        <v>576.36940746000005</v>
      </c>
      <c r="I69" s="514">
        <f>('Cálculos AG'!$B$38*(I63)*0.15/2000)+((('Cálculos AG'!$K$38*(I65)*'Cálculos AG'!$O$38)/'Cálculos AG'!$Q$39))</f>
        <v>736.45753500000001</v>
      </c>
      <c r="J69" s="514">
        <f>('Cálculos AG'!$B$38*(J63)*0.15/2000)+((('Cálculos AG'!$K$38*(J65)*'Cálculos AG'!$O$38)/'Cálculos AG'!$Q$39))</f>
        <v>665.29804522500012</v>
      </c>
      <c r="K69" s="514">
        <f>('Cálculos AG'!$B$38*(K63)*0.15/2000)+((('Cálculos AG'!$K$38*(K65)*'Cálculos AG'!$O$38)/'Cálculos AG'!$Q$39))</f>
        <v>572.98325898000007</v>
      </c>
      <c r="L69" s="514">
        <f>('Cálculos AG'!$B$38*(L63)*0.15/2000)+((('Cálculos AG'!$K$38*(L65)*'Cálculos AG'!$O$38)/'Cálculos AG'!$Q$39))</f>
        <v>724.45536635999997</v>
      </c>
      <c r="M69" s="514">
        <f>('Cálculos AG'!$B$38*(M63)*0.15/2000)+((('Cálculos AG'!$K$38*(M65)*'Cálculos AG'!$O$38)/'Cálculos AG'!$Q$39))</f>
        <v>688.03137282</v>
      </c>
      <c r="N69" s="514">
        <f>('Cálculos AG'!$B$38*(N63)*0.15/2000)+((('Cálculos AG'!$K$38*(N65)*'Cálculos AG'!$O$38)/'Cálculos AG'!$Q$39))</f>
        <v>430.35238570500007</v>
      </c>
      <c r="O69" s="532">
        <f t="shared" si="14"/>
        <v>5821.2384565500006</v>
      </c>
    </row>
    <row r="70" spans="1:15" ht="21.75" customHeight="1" x14ac:dyDescent="0.2">
      <c r="A70" s="513" t="s">
        <v>22</v>
      </c>
      <c r="B70" s="513" t="s">
        <v>96</v>
      </c>
      <c r="C70" s="514">
        <f>((('Cálculos AG'!$B$50/'Cálculos AG'!$B$51)*(C63))/'Cálculos AG'!$F$51)+((('Cálculos AG'!$K$50*(C65)*'Cálculos AG'!$O$50)/'Cálculos AG'!$Q$51))</f>
        <v>2.1326719239600003</v>
      </c>
      <c r="D70" s="514">
        <f>((('Cálculos AG'!$B$50/'Cálculos AG'!$B$51)*(D63))/'Cálculos AG'!$F$51)+((('Cálculos AG'!$K$50*(D65)*'Cálculos AG'!$O$50)/'Cálculos AG'!$Q$51))</f>
        <v>2.3142557410799998</v>
      </c>
      <c r="E70" s="514">
        <f>((('Cálculos AG'!$B$50/'Cálculos AG'!$B$51)*(E63))/'Cálculos AG'!$F$51)+((('Cálculos AG'!$K$50*(E65)*'Cálculos AG'!$O$50)/'Cálculos AG'!$Q$51))</f>
        <v>9.1046357670000008E-2</v>
      </c>
      <c r="F70" s="514">
        <f>((('Cálculos AG'!$B$50/'Cálculos AG'!$B$51)*(F63))/'Cálculos AG'!$F$51)+((('Cálculos AG'!$K$50*(F65)*'Cálculos AG'!$O$50)/'Cálculos AG'!$Q$51))</f>
        <v>0.15015132503999998</v>
      </c>
      <c r="G70" s="514">
        <f>((('Cálculos AG'!$B$50/'Cálculos AG'!$B$51)*(G63))/'Cálculos AG'!$F$51)+((('Cálculos AG'!$K$50*(G65)*'Cálculos AG'!$O$50)/'Cálculos AG'!$Q$51))</f>
        <v>0.14802459600000004</v>
      </c>
      <c r="H70" s="514">
        <f>((('Cálculos AG'!$B$50/'Cálculos AG'!$B$51)*(H63))/'Cálculos AG'!$F$51)+((('Cálculos AG'!$K$50*(H65)*'Cálculos AG'!$O$50)/'Cálculos AG'!$Q$51))</f>
        <v>1.5142759730700002</v>
      </c>
      <c r="I70" s="514">
        <f>((('Cálculos AG'!$B$50/'Cálculos AG'!$B$51)*(I63))/'Cálculos AG'!$F$51)+((('Cálculos AG'!$K$50*(I65)*'Cálculos AG'!$O$50)/'Cálculos AG'!$Q$51))</f>
        <v>4.2786527326799995</v>
      </c>
      <c r="J70" s="514">
        <f>((('Cálculos AG'!$B$50/'Cálculos AG'!$B$51)*(J63))/'Cálculos AG'!$F$51)+((('Cálculos AG'!$K$50*(J65)*'Cálculos AG'!$O$50)/'Cálculos AG'!$Q$51))</f>
        <v>4.2986044749300003</v>
      </c>
      <c r="K70" s="514">
        <f>((('Cálculos AG'!$B$50/'Cálculos AG'!$B$51)*(K63))/'Cálculos AG'!$F$51)+((('Cálculos AG'!$K$50*(K65)*'Cálculos AG'!$O$50)/'Cálculos AG'!$Q$51))</f>
        <v>5.0860271511300006</v>
      </c>
      <c r="L70" s="514">
        <f>((('Cálculos AG'!$B$50/'Cálculos AG'!$B$51)*(L63))/'Cálculos AG'!$F$51)+((('Cálculos AG'!$K$50*(L65)*'Cálculos AG'!$O$50)/'Cálculos AG'!$Q$51))</f>
        <v>4.5399136640099993</v>
      </c>
      <c r="M70" s="514">
        <f>((('Cálculos AG'!$B$50/'Cálculos AG'!$B$51)*(M63))/'Cálculos AG'!$F$51)+((('Cálculos AG'!$K$50*(M65)*'Cálculos AG'!$O$50)/'Cálculos AG'!$Q$51))</f>
        <v>4.653150257670001</v>
      </c>
      <c r="N70" s="514">
        <f>((('Cálculos AG'!$B$50/'Cálculos AG'!$B$51)*(N63))/'Cálculos AG'!$F$51)+((('Cálculos AG'!$K$50*(N65)*'Cálculos AG'!$O$50)/'Cálculos AG'!$Q$51))</f>
        <v>2.8835032099500002</v>
      </c>
      <c r="O70" s="532">
        <f t="shared" si="14"/>
        <v>32.090277407190001</v>
      </c>
    </row>
    <row r="71" spans="1:15" ht="21.75" customHeight="1" x14ac:dyDescent="0.2">
      <c r="A71" s="513" t="s">
        <v>21</v>
      </c>
      <c r="B71" s="513" t="s">
        <v>96</v>
      </c>
      <c r="C71" s="514">
        <f>((('Cálculos AG'!$B$60/'Cálculos AG'!$B$61)*(C63))/'Cálculos AG'!$F$61)+((('Cálculos AG'!$K$60*(C65)*'Cálculos AG'!$O$60)/'Cálculos AG'!$Q$61))</f>
        <v>14.152262830800002</v>
      </c>
      <c r="D71" s="514">
        <f>((('Cálculos AG'!$B$60/'Cálculos AG'!$B$61)*(D63))/'Cálculos AG'!$F$61)+((('Cálculos AG'!$K$60*(D65)*'Cálculos AG'!$O$60)/'Cálculos AG'!$Q$61))</f>
        <v>15.317302424399996</v>
      </c>
      <c r="E71" s="514">
        <f>((('Cálculos AG'!$B$60/'Cálculos AG'!$B$61)*(E63))/'Cálculos AG'!$F$61)+((('Cálculos AG'!$K$60*(E65)*'Cálculos AG'!$O$60)/'Cálculos AG'!$Q$61))</f>
        <v>0.73281214710000009</v>
      </c>
      <c r="F71" s="514">
        <f>((('Cálculos AG'!$B$60/'Cálculos AG'!$B$61)*(F63))/'Cálculos AG'!$F$61)+((('Cálculos AG'!$K$60*(F65)*'Cálculos AG'!$O$60)/'Cálculos AG'!$Q$61))</f>
        <v>1.2085350552000003</v>
      </c>
      <c r="G71" s="514">
        <f>((('Cálculos AG'!$B$60/'Cálculos AG'!$B$61)*(G63))/'Cálculos AG'!$F$61)+((('Cálculos AG'!$K$60*(G65)*'Cálculos AG'!$O$60)/'Cálculos AG'!$Q$61))</f>
        <v>1.1914174800000001</v>
      </c>
      <c r="H71" s="514">
        <f>((('Cálculos AG'!$B$60/'Cálculos AG'!$B$61)*(H63))/'Cálculos AG'!$F$61)+((('Cálculos AG'!$K$60*(H65)*'Cálculos AG'!$O$60)/'Cálculos AG'!$Q$61))</f>
        <v>10.2997424691</v>
      </c>
      <c r="I71" s="514">
        <f>((('Cálculos AG'!$B$60/'Cálculos AG'!$B$61)*(I63))/'Cálculos AG'!$F$61)+((('Cálculos AG'!$K$60*(I65)*'Cálculos AG'!$O$60)/'Cálculos AG'!$Q$61))</f>
        <v>28.472335064399999</v>
      </c>
      <c r="J71" s="514">
        <f>((('Cálculos AG'!$B$60/'Cálculos AG'!$B$61)*(J63))/'Cálculos AG'!$F$61)+((('Cálculos AG'!$K$60*(J65)*'Cálculos AG'!$O$60)/'Cálculos AG'!$Q$61))</f>
        <v>28.552423116900002</v>
      </c>
      <c r="K71" s="514">
        <f>((('Cálculos AG'!$B$60/'Cálculos AG'!$B$61)*(K63))/'Cálculos AG'!$F$61)+((('Cálculos AG'!$K$60*(K65)*'Cálculos AG'!$O$60)/'Cálculos AG'!$Q$61))</f>
        <v>33.631418820900002</v>
      </c>
      <c r="L71" s="514">
        <f>((('Cálculos AG'!$B$60/'Cálculos AG'!$B$61)*(L63))/'Cálculos AG'!$F$61)+((('Cálculos AG'!$K$60*(L65)*'Cálculos AG'!$O$60)/'Cálculos AG'!$Q$61))</f>
        <v>30.170662959300003</v>
      </c>
      <c r="M71" s="514">
        <f>((('Cálculos AG'!$B$60/'Cálculos AG'!$B$61)*(M63))/'Cálculos AG'!$F$61)+((('Cálculos AG'!$K$60*(M65)*'Cálculos AG'!$O$60)/'Cálculos AG'!$Q$61))</f>
        <v>30.884707763100003</v>
      </c>
      <c r="N71" s="514">
        <f>((('Cálculos AG'!$B$60/'Cálculos AG'!$B$61)*(N63))/'Cálculos AG'!$F$61)+((('Cálculos AG'!$K$60*(N65)*'Cálculos AG'!$O$60)/'Cálculos AG'!$Q$61))</f>
        <v>19.141710961500003</v>
      </c>
      <c r="O71" s="532">
        <f t="shared" si="14"/>
        <v>213.7553310927</v>
      </c>
    </row>
    <row r="72" spans="1:15" ht="21.75" customHeight="1" x14ac:dyDescent="0.2">
      <c r="A72" s="513" t="s">
        <v>23</v>
      </c>
      <c r="B72" s="513" t="s">
        <v>96</v>
      </c>
      <c r="C72" s="519">
        <f>((('Cálculos AG'!$B$70/'Cálculos AG'!$B$71)*(C63))/'Cálculos AG'!$F$71)+((('Cálculos AG'!$K$70*(C65)*'Cálculos AG'!$O$70)/'Cálculos AG'!$Q$71))</f>
        <v>6.8962448058000007E-3</v>
      </c>
      <c r="D72" s="519">
        <f>((('Cálculos AG'!$B$70/'Cálculos AG'!$B$71)*(D63))/'Cálculos AG'!$F$71)+((('Cálculos AG'!$K$70*(D65)*'Cálculos AG'!$O$70)/'Cálculos AG'!$Q$71))</f>
        <v>6.6095859101999999E-3</v>
      </c>
      <c r="E72" s="519">
        <f>((('Cálculos AG'!$B$70/'Cálculos AG'!$B$71)*(E63))/'Cálculos AG'!$F$71)+((('Cálculos AG'!$K$70*(E65)*'Cálculos AG'!$O$70)/'Cálculos AG'!$Q$71))</f>
        <v>3.1089000180000003E-3</v>
      </c>
      <c r="F72" s="519">
        <f>((('Cálculos AG'!$B$70/'Cálculos AG'!$B$71)*(F63))/'Cálculos AG'!$F$71)+((('Cálculos AG'!$K$70*(F65)*'Cálculos AG'!$O$70)/'Cálculos AG'!$Q$71))</f>
        <v>5.127118416E-3</v>
      </c>
      <c r="G72" s="519">
        <f>((('Cálculos AG'!$B$70/'Cálculos AG'!$B$71)*(G63))/'Cálculos AG'!$F$71)+((('Cálculos AG'!$K$70*(G65)*'Cálculos AG'!$O$70)/'Cálculos AG'!$Q$71))</f>
        <v>5.0544984000000012E-3</v>
      </c>
      <c r="H72" s="519">
        <f>((('Cálculos AG'!$B$70/'Cálculos AG'!$B$71)*(H63))/'Cálculos AG'!$F$71)+((('Cálculos AG'!$K$70*(H65)*'Cálculos AG'!$O$70)/'Cálculos AG'!$Q$71))</f>
        <v>1.0390847964000001E-2</v>
      </c>
      <c r="I72" s="519">
        <f>((('Cálculos AG'!$B$70/'Cálculos AG'!$B$71)*(I63))/'Cálculos AG'!$F$71)+((('Cálculos AG'!$K$70*(I65)*'Cálculos AG'!$O$70)/'Cálculos AG'!$Q$71))</f>
        <v>1.5574798528800001E-2</v>
      </c>
      <c r="J72" s="519">
        <f>((('Cálculos AG'!$B$70/'Cálculos AG'!$B$71)*(J63))/'Cálculos AG'!$F$71)+((('Cálculos AG'!$K$70*(J65)*'Cálculos AG'!$O$70)/'Cálculos AG'!$Q$71))</f>
        <v>1.44947809293E-2</v>
      </c>
      <c r="K72" s="519">
        <f>((('Cálculos AG'!$B$70/'Cálculos AG'!$B$71)*(K63))/'Cálculos AG'!$F$71)+((('Cálculos AG'!$K$70*(K65)*'Cálculos AG'!$O$70)/'Cálculos AG'!$Q$71))</f>
        <v>1.3840300387200001E-2</v>
      </c>
      <c r="L72" s="519">
        <f>((('Cálculos AG'!$B$70/'Cálculos AG'!$B$71)*(L63))/'Cálculos AG'!$F$71)+((('Cálculos AG'!$K$70*(L65)*'Cálculos AG'!$O$70)/'Cálculos AG'!$Q$71))</f>
        <v>1.56454798164E-2</v>
      </c>
      <c r="M72" s="519">
        <f>((('Cálculos AG'!$B$70/'Cálculos AG'!$B$71)*(M63))/'Cálculos AG'!$F$71)+((('Cálculos AG'!$K$70*(M65)*'Cálculos AG'!$O$70)/'Cálculos AG'!$Q$71))</f>
        <v>1.5193663144800003E-2</v>
      </c>
      <c r="N72" s="519">
        <f>((('Cálculos AG'!$B$70/'Cálculos AG'!$B$71)*(N63))/'Cálculos AG'!$F$71)+((('Cálculos AG'!$K$70*(N65)*'Cálculos AG'!$O$70)/'Cálculos AG'!$Q$71))</f>
        <v>9.4769501589000004E-3</v>
      </c>
      <c r="O72" s="533">
        <f t="shared" si="14"/>
        <v>0.12141316847939999</v>
      </c>
    </row>
    <row r="73" spans="1:15" ht="21.75" customHeight="1" x14ac:dyDescent="0.2">
      <c r="A73" s="513" t="s">
        <v>24</v>
      </c>
      <c r="B73" s="513" t="s">
        <v>96</v>
      </c>
      <c r="C73" s="514">
        <f>('Cálculos AG'!$B$80*(C63)/'Cálculos AG'!$F$81)+('Cálculos AG'!$K$80*(C65)/'Cálculos AG'!$O$81)</f>
        <v>100526.10135243372</v>
      </c>
      <c r="D73" s="514">
        <f>('Cálculos AG'!$B$80*(D63)/'Cálculos AG'!$F$81)+('Cálculos AG'!$K$80*(D65)/'Cálculos AG'!$O$81)</f>
        <v>99136.943717000162</v>
      </c>
      <c r="E73" s="514">
        <f>('Cálculos AG'!$B$80*(E63)/'Cálculos AG'!$F$81)+('Cálculos AG'!$K$80*(E65)/'Cálculos AG'!$O$81)</f>
        <v>36333.793849494468</v>
      </c>
      <c r="F73" s="514">
        <f>('Cálculos AG'!$B$80*(F63)/'Cálculos AG'!$F$81)+('Cálculos AG'!$K$80*(F65)/'Cálculos AG'!$O$81)</f>
        <v>59920.763771853985</v>
      </c>
      <c r="G73" s="514">
        <f>('Cálculos AG'!$B$80*(G63)/'Cálculos AG'!$F$81)+('Cálculos AG'!$K$80*(G65)/'Cálculos AG'!$O$81)</f>
        <v>59072.05179159918</v>
      </c>
      <c r="H73" s="514">
        <f>('Cálculos AG'!$B$80*(H63)/'Cálculos AG'!$F$81)+('Cálculos AG'!$K$80*(H65)/'Cálculos AG'!$O$81)</f>
        <v>133927.89268561476</v>
      </c>
      <c r="I73" s="514">
        <f>('Cálculos AG'!$B$80*(I63)/'Cálculos AG'!$F$81)+('Cálculos AG'!$K$80*(I65)/'Cálculos AG'!$O$81)</f>
        <v>221480.6832641591</v>
      </c>
      <c r="J73" s="514">
        <f>('Cálculos AG'!$B$80*(J63)/'Cálculos AG'!$F$81)+('Cálculos AG'!$K$80*(J65)/'Cálculos AG'!$O$81)</f>
        <v>209390.92653955275</v>
      </c>
      <c r="K73" s="514">
        <f>('Cálculos AG'!$B$80*(K63)/'Cálculos AG'!$F$81)+('Cálculos AG'!$K$80*(K65)/'Cálculos AG'!$O$81)</f>
        <v>210067.91397318651</v>
      </c>
      <c r="L73" s="514">
        <f>('Cálculos AG'!$B$80*(L63)/'Cálculos AG'!$F$81)+('Cálculos AG'!$K$80*(L65)/'Cálculos AG'!$O$81)</f>
        <v>224982.20306848758</v>
      </c>
      <c r="M73" s="514">
        <f>('Cálculos AG'!$B$80*(M63)/'Cálculos AG'!$F$81)+('Cálculos AG'!$K$80*(M65)/'Cálculos AG'!$O$81)</f>
        <v>221007.26367516565</v>
      </c>
      <c r="N73" s="514">
        <f>('Cálculos AG'!$B$80*(N63)/'Cálculos AG'!$F$81)+('Cálculos AG'!$K$80*(N65)/'Cálculos AG'!$O$81)</f>
        <v>137657.08857468463</v>
      </c>
      <c r="O73" s="532">
        <f t="shared" si="14"/>
        <v>1713503.6262632324</v>
      </c>
    </row>
    <row r="74" spans="1:15" ht="31.5" customHeight="1" x14ac:dyDescent="0.2">
      <c r="A74" s="609" t="s">
        <v>400</v>
      </c>
      <c r="B74" s="609"/>
      <c r="C74" s="525"/>
      <c r="D74" s="525"/>
      <c r="E74" s="525"/>
      <c r="F74" s="525"/>
      <c r="G74" s="525"/>
      <c r="H74" s="525"/>
      <c r="I74" s="525"/>
      <c r="J74" s="525"/>
      <c r="K74" s="525"/>
      <c r="L74" s="525"/>
      <c r="M74" s="525"/>
      <c r="N74" s="525"/>
      <c r="O74" s="525"/>
    </row>
    <row r="75" spans="1:15" ht="21.75" hidden="1" customHeight="1" x14ac:dyDescent="0.2">
      <c r="A75" s="513" t="s">
        <v>186</v>
      </c>
      <c r="B75" s="513" t="s">
        <v>94</v>
      </c>
      <c r="C75" s="526">
        <f>SUM('Palo Seco'!$B$5,'Palo Seco'!$C$5,'Palo Seco'!$D$5,'Palo Seco'!$E$5)</f>
        <v>6796230</v>
      </c>
      <c r="D75" s="526">
        <f>SUM('Palo Seco'!$B$6,'Palo Seco'!$C$6,'Palo Seco'!$D$6,'Palo Seco'!$E$6)</f>
        <v>6456156</v>
      </c>
      <c r="E75" s="526">
        <f>SUM('Palo Seco'!$B$7,'Palo Seco'!$C$7,'Palo Seco'!$D$7,'Palo Seco'!$E$7)</f>
        <v>6152916</v>
      </c>
      <c r="F75" s="526">
        <f>SUM('Palo Seco'!$B$8,'Palo Seco'!$C$8,'Palo Seco'!$D$8,'Palo Seco'!$E$8)</f>
        <v>5487594</v>
      </c>
      <c r="G75" s="526">
        <f>SUM('Palo Seco'!$B$9,'Palo Seco'!$C$9,'Palo Seco'!$D$9,'Palo Seco'!$E$9)</f>
        <v>6883422</v>
      </c>
      <c r="H75" s="526">
        <f>SUM('Palo Seco'!$B$10,'Palo Seco'!$C$10,'Palo Seco'!$D$10,'Palo Seco'!$E$10)</f>
        <v>4579974</v>
      </c>
      <c r="I75" s="526">
        <f>SUM('Palo Seco'!$B$11,'Palo Seco'!$C$11,'Palo Seco'!$D$11,'Palo Seco'!$E$11)</f>
        <v>5758242</v>
      </c>
      <c r="J75" s="526">
        <f>SUM('Palo Seco'!$B$12,'Palo Seco'!$C$12,'Palo Seco'!$D$12,'Palo Seco'!$E$12)</f>
        <v>5941488</v>
      </c>
      <c r="K75" s="526">
        <f>SUM('Palo Seco'!$B$13,'Palo Seco'!$C$13,'Palo Seco'!$D$13,'Palo Seco'!$E$13)</f>
        <v>5539548</v>
      </c>
      <c r="L75" s="526">
        <f>SUM('Palo Seco'!$B$14,'Palo Seco'!$C$14,'Palo Seco'!$D$14,'Palo Seco'!$E$14)</f>
        <v>10261860</v>
      </c>
      <c r="M75" s="526">
        <f>SUM('Palo Seco'!$B$15,'Palo Seco'!$C$15,'Palo Seco'!$D$15,'Palo Seco'!$E$15)</f>
        <v>7304640</v>
      </c>
      <c r="N75" s="526">
        <f>SUM('Palo Seco'!$B$16,'Palo Seco'!$C$16,'Palo Seco'!$D$16,'Palo Seco'!$E$16)</f>
        <v>10813950</v>
      </c>
      <c r="O75" s="527">
        <f>SUM(C75:N75)</f>
        <v>81976020</v>
      </c>
    </row>
    <row r="76" spans="1:15" ht="21.75" hidden="1" customHeight="1" x14ac:dyDescent="0.2">
      <c r="A76" s="513" t="s">
        <v>398</v>
      </c>
      <c r="B76" s="513" t="s">
        <v>383</v>
      </c>
      <c r="C76" s="530">
        <f>IF(C75=0,0,('Palo Seco'!$D$5*'Palo Seco'!$H$5+'Palo Seco'!$E$5*'Palo Seco'!$I$5)/C75)</f>
        <v>0.48999999999999994</v>
      </c>
      <c r="D76" s="530">
        <f>IF(D75=0,0,('Palo Seco'!$D$6*'Palo Seco'!$H$6+'Palo Seco'!$E$6*'Palo Seco'!$I$6)/D75)</f>
        <v>0.49</v>
      </c>
      <c r="E76" s="530">
        <f>IF(E75=0,0,('Palo Seco'!$D$7*'Palo Seco'!$H$7+'Palo Seco'!$E$7*'Palo Seco'!$I$7)/E75)</f>
        <v>0.5</v>
      </c>
      <c r="F76" s="530">
        <f>IF(F75=0,0,('Palo Seco'!$D$8*'Palo Seco'!$H$8+'Palo Seco'!$E$8*'Palo Seco'!$I$8)/F75)</f>
        <v>0.49</v>
      </c>
      <c r="G76" s="530">
        <f>IF(G75=0,0,('Palo Seco'!$D$9*'Palo Seco'!$H$9+'Palo Seco'!$E$9*'Palo Seco'!$I$9)/G75)</f>
        <v>0.49</v>
      </c>
      <c r="H76" s="530">
        <f>IF(H75=0,0,('Palo Seco'!$D$10*'Palo Seco'!$H$10+'Palo Seco'!$E$10*'Palo Seco'!$I$10)/H75)</f>
        <v>0.48999999999999994</v>
      </c>
      <c r="I76" s="530">
        <f>IF(I75=0,0,('Palo Seco'!$D$11*'Palo Seco'!$H$11+'Palo Seco'!$E$11*'Palo Seco'!$I$11)/I75)</f>
        <v>0.47999999999999993</v>
      </c>
      <c r="J76" s="530">
        <f>IF(J75=0,0,('Palo Seco'!$D$12*'Palo Seco'!$H$12+'Palo Seco'!$E$12*'Palo Seco'!$I$12)/J75)</f>
        <v>0.44000000000000006</v>
      </c>
      <c r="K76" s="530">
        <f>IF(K75=0,0,('Palo Seco'!$D$13*'Palo Seco'!$H$13+'Palo Seco'!$E$13*'Palo Seco'!$I$13)/K75)</f>
        <v>0.41653309800727423</v>
      </c>
      <c r="L76" s="530">
        <f>IF(L75=0,0,('Palo Seco'!$D$14*'Palo Seco'!$H$14+'Palo Seco'!$E$14*'Palo Seco'!$I$14)/L75)</f>
        <v>0.46999999999999992</v>
      </c>
      <c r="M76" s="530">
        <f>IF(M75=0,0,('Palo Seco'!$D$15*'Palo Seco'!$H$15+'Palo Seco'!$E$15*'Palo Seco'!$I$15)/M75)</f>
        <v>0.44637182530555924</v>
      </c>
      <c r="N76" s="530">
        <f>IF(N75=0,0,('Palo Seco'!$D$16*'Palo Seco'!$H$16+'Palo Seco'!$E$16*'Palo Seco'!$I$16)/N75)</f>
        <v>0.44519128717998513</v>
      </c>
      <c r="O76" s="531">
        <f>IF(O75=0,0,SUMPRODUCT(C76:N76,C75:N75)/O75)</f>
        <v>0.46915749532607215</v>
      </c>
    </row>
    <row r="77" spans="1:15" ht="21.75" hidden="1" customHeight="1" x14ac:dyDescent="0.2">
      <c r="A77" s="513" t="s">
        <v>401</v>
      </c>
      <c r="B77" s="513" t="s">
        <v>94</v>
      </c>
      <c r="C77" s="526">
        <f>SUM('Palo Seco'!$B$39,'Palo Seco'!$C$39,'Palo Seco'!$D$39,'Palo Seco'!$E$39)+SUM('Palo Seco'!$K$39,'Palo Seco'!$L$39)*42</f>
        <v>742918</v>
      </c>
      <c r="D77" s="526">
        <f>SUM('Palo Seco'!$B$40,'Palo Seco'!$C$40,'Palo Seco'!$D$40,'Palo Seco'!$E$40)+SUM('Palo Seco'!$K$40,'Palo Seco'!$L$40)*42</f>
        <v>451625</v>
      </c>
      <c r="E77" s="526">
        <f>SUM('Palo Seco'!$B$41,'Palo Seco'!$C$41,'Palo Seco'!$D$41,'Palo Seco'!$E$41)+SUM('Palo Seco'!$K$41,'Palo Seco'!$L$41)*42</f>
        <v>1088049.0009999999</v>
      </c>
      <c r="F77" s="526">
        <f>SUM('Palo Seco'!$B$42,'Palo Seco'!$C$42,'Palo Seco'!$D$42,'Palo Seco'!$E$42)+SUM('Palo Seco'!$K$42,'Palo Seco'!$L$42)*42</f>
        <v>1226779</v>
      </c>
      <c r="G77" s="526">
        <f>SUM('Palo Seco'!$B$43,'Palo Seco'!$C$43,'Palo Seco'!$D$43,'Palo Seco'!$E$43)+SUM('Palo Seco'!$K$43,'Palo Seco'!$L$43)*42</f>
        <v>357804</v>
      </c>
      <c r="H77" s="526">
        <f>SUM('Palo Seco'!$B$44,'Palo Seco'!$C$44,'Palo Seco'!$D$44,'Palo Seco'!$E$44)+SUM('Palo Seco'!$K$44,'Palo Seco'!$L$44)*42</f>
        <v>399679</v>
      </c>
      <c r="I77" s="526">
        <f>SUM('Palo Seco'!$B$45,'Palo Seco'!$C$45,'Palo Seco'!$D$45,'Palo Seco'!$E$45)+SUM('Palo Seco'!$K$45,'Palo Seco'!$L$45)*42</f>
        <v>682626</v>
      </c>
      <c r="J77" s="526">
        <f>SUM('Palo Seco'!$B$46,'Palo Seco'!$C$46,'Palo Seco'!$D$46,'Palo Seco'!$E$46)+SUM('Palo Seco'!$K$46,'Palo Seco'!$L$46)*42</f>
        <v>413438</v>
      </c>
      <c r="K77" s="526">
        <f>SUM('Palo Seco'!$B$47,'Palo Seco'!$C$47,'Palo Seco'!$D$47,'Palo Seco'!$E$47)+SUM('Palo Seco'!$K$47,'Palo Seco'!$L$47)*42</f>
        <v>221426</v>
      </c>
      <c r="L77" s="526">
        <f>SUM('Palo Seco'!$B$48,'Palo Seco'!$C$48,'Palo Seco'!$D$48,'Palo Seco'!$E$48)+SUM('Palo Seco'!$K$48,'Palo Seco'!$L$48)*42</f>
        <v>575860</v>
      </c>
      <c r="M77" s="526">
        <f>SUM('Palo Seco'!$B$49,'Palo Seco'!$C$49,'Palo Seco'!$D$49,'Palo Seco'!$E$49)+SUM('Palo Seco'!$K$49,'Palo Seco'!$L$49)*42</f>
        <v>432755</v>
      </c>
      <c r="N77" s="526">
        <f>SUM('Palo Seco'!$B$50,'Palo Seco'!$C$50,'Palo Seco'!$D$50,'Palo Seco'!$E$50)+SUM('Palo Seco'!$K$50,'Palo Seco'!$L$50)*42</f>
        <v>275388</v>
      </c>
      <c r="O77" s="527">
        <f>SUM(C77:N77)</f>
        <v>6868347.0010000002</v>
      </c>
    </row>
    <row r="78" spans="1:15" ht="21.75" hidden="1" customHeight="1" x14ac:dyDescent="0.2">
      <c r="A78" s="513" t="s">
        <v>402</v>
      </c>
      <c r="B78" s="513" t="s">
        <v>383</v>
      </c>
      <c r="C78" s="530">
        <f>IF(C77=0,0,('Palo Seco'!$B$39*'Palo Seco'!$F$39+'Palo Seco'!$C$39*'Palo Seco'!$G$39+'Palo Seco'!$D$39*'Palo Seco'!$H$39+'Palo Seco'!$E$39*'Palo Seco'!$I$39+'Palo Seco'!$K$39*42*'Palo Seco'!$M$39+'Palo Seco'!$L$39*42*'Palo Seco'!$N$39)/C77)</f>
        <v>4.0000000000000001E-3</v>
      </c>
      <c r="D78" s="530">
        <f>IF(D77=0,0,('Palo Seco'!$B$40*'Palo Seco'!$F$40+'Palo Seco'!$C$40*'Palo Seco'!$G$40+'Palo Seco'!$D$40*'Palo Seco'!$H$40+'Palo Seco'!$E$40*'Palo Seco'!$I$40+'Palo Seco'!$K$40*42*'Palo Seco'!$M$40+'Palo Seco'!$L$40*42*'Palo Seco'!$N$40)/D77)</f>
        <v>4.0000000000000001E-3</v>
      </c>
      <c r="E78" s="530">
        <f>IF(E77=0,0,('Palo Seco'!$B$41*'Palo Seco'!$F$41+'Palo Seco'!$C$41*'Palo Seco'!$G$41+'Palo Seco'!$D$41*'Palo Seco'!$H$41+'Palo Seco'!$E$41*'Palo Seco'!$I$41+'Palo Seco'!$K$41*42*'Palo Seco'!$M$41+'Palo Seco'!$L$41*42*'Palo Seco'!$N$41)/E77)</f>
        <v>9.9999999908092379E-4</v>
      </c>
      <c r="F78" s="530">
        <f>IF(F77=0,0,('Palo Seco'!$B$42*'Palo Seco'!$F$42+'Palo Seco'!$C$42*'Palo Seco'!$G$42+'Palo Seco'!$D$42*'Palo Seco'!$H$42+'Palo Seco'!$E$42*'Palo Seco'!$I$42+'Palo Seco'!$K$42*42*'Palo Seco'!$M$42+'Palo Seco'!$L$42*42*'Palo Seco'!$N$42)/F77)</f>
        <v>1E-3</v>
      </c>
      <c r="G78" s="530">
        <f>IF(G77=0,0,('Palo Seco'!$B$43*'Palo Seco'!$F$43+'Palo Seco'!$C$43*'Palo Seco'!$G$43+'Palo Seco'!$D$43*'Palo Seco'!$H$43+'Palo Seco'!$E$43*'Palo Seco'!$I$43+'Palo Seco'!$K$43*42*'Palo Seco'!$M$43+'Palo Seco'!$L$43*42*'Palo Seco'!$N$43)/G77)</f>
        <v>1.2999999999999999E-3</v>
      </c>
      <c r="H78" s="530">
        <f>IF(H77=0,0,('Palo Seco'!$B$44*'Palo Seco'!$F$44+'Palo Seco'!$C$44*'Palo Seco'!$G$44+'Palo Seco'!$D$44*'Palo Seco'!$H$44+'Palo Seco'!$E$44*'Palo Seco'!$I$44+'Palo Seco'!$K$44*42*'Palo Seco'!$M$44+'Palo Seco'!$L$44*42*'Palo Seco'!$N$44)/H77)</f>
        <v>1.2999999999999997E-3</v>
      </c>
      <c r="I78" s="530">
        <f>IF(I77=0,0,('Palo Seco'!$B$45*'Palo Seco'!$F$45+'Palo Seco'!$C$45*'Palo Seco'!$G$45+'Palo Seco'!$D$45*'Palo Seco'!$H$45+'Palo Seco'!$E$45*'Palo Seco'!$I$45+'Palo Seco'!$K$45*42*'Palo Seco'!$M$45+'Palo Seco'!$L$45*42*'Palo Seco'!$N$45)/I77)</f>
        <v>1.2999999999999999E-3</v>
      </c>
      <c r="J78" s="530">
        <f>IF(J77=0,0,('Palo Seco'!$B$46*'Palo Seco'!$F$46+'Palo Seco'!$C$46*'Palo Seco'!$G$46+'Palo Seco'!$D$46*'Palo Seco'!$H$46+'Palo Seco'!$E$46*'Palo Seco'!$I$46+'Palo Seco'!$K$46*42*'Palo Seco'!$M$46+'Palo Seco'!$L$46*42*'Palo Seco'!$N$46)/J77)</f>
        <v>1.2999999999999999E-3</v>
      </c>
      <c r="K78" s="530">
        <f>IF(K77=0,0,('Palo Seco'!$B$47*'Palo Seco'!$F$47+'Palo Seco'!$C$47*'Palo Seco'!$G$47+'Palo Seco'!$D$47*'Palo Seco'!$H$47+'Palo Seco'!$E$47*'Palo Seco'!$I$47+'Palo Seco'!$K$47*42*'Palo Seco'!$M$47+'Palo Seco'!$L$47*42*'Palo Seco'!$N$47)/K77)</f>
        <v>5.0000000000000001E-4</v>
      </c>
      <c r="L78" s="530">
        <f>IF(L77=0,0,('Palo Seco'!$B$48*'Palo Seco'!$F$48+'Palo Seco'!$C$48*'Palo Seco'!$G$48+'Palo Seco'!$D$48*'Palo Seco'!$H$48+'Palo Seco'!$E$48*'Palo Seco'!$I$48+'Palo Seco'!$K$48*42*'Palo Seco'!$M$48+'Palo Seco'!$L$48*42*'Palo Seco'!$N$48)/L77)</f>
        <v>6.9999999999999999E-4</v>
      </c>
      <c r="M78" s="530">
        <f>IF(M77=0,0,('Palo Seco'!$B$49*'Palo Seco'!$F$49+'Palo Seco'!$C$49*'Palo Seco'!$G$49+'Palo Seco'!$D$49*'Palo Seco'!$H$49+'Palo Seco'!$E$49*'Palo Seco'!$I$49+'Palo Seco'!$K$49*42*'Palo Seco'!$M$49+'Palo Seco'!$L$49*42*'Palo Seco'!$N$49)/M77)</f>
        <v>6.9999999999999999E-4</v>
      </c>
      <c r="N78" s="530">
        <f>IF(N77=0,0,('Palo Seco'!$B$50*'Palo Seco'!$F$50+'Palo Seco'!$C$50*'Palo Seco'!$G$50+'Palo Seco'!$D$50*'Palo Seco'!$H$50+'Palo Seco'!$E$50*'Palo Seco'!$I$50+'Palo Seco'!$K$50*42*'Palo Seco'!$M$50+'Palo Seco'!$L$50*42*'Palo Seco'!$N$50)/N77)</f>
        <v>1E-3</v>
      </c>
      <c r="O78" s="531">
        <f>IF(O77=0,0,SUMPRODUCT(C78:N78,C77:N77)/O77)</f>
        <v>1.5425462048521217E-3</v>
      </c>
    </row>
    <row r="79" spans="1:15" ht="21.75" hidden="1" customHeight="1" x14ac:dyDescent="0.2">
      <c r="A79" s="513" t="s">
        <v>403</v>
      </c>
      <c r="B79" s="513" t="s">
        <v>94</v>
      </c>
      <c r="C79" s="526">
        <f>SUM('Palo Seco'!$B$71,'Palo Seco'!$C$71,'Palo Seco'!$D$71)</f>
        <v>551902</v>
      </c>
      <c r="D79" s="526">
        <f>SUM('Palo Seco'!$B$72,'Palo Seco'!$C$72,'Palo Seco'!$D$72)</f>
        <v>590029</v>
      </c>
      <c r="E79" s="526">
        <f>SUM('Palo Seco'!$B$73,'Palo Seco'!$C$73,'Palo Seco'!$D$73)</f>
        <v>1844695</v>
      </c>
      <c r="F79" s="526">
        <f>SUM('Palo Seco'!$B$74,'Palo Seco'!$C$74,'Palo Seco'!$D$74)</f>
        <v>2711027</v>
      </c>
      <c r="G79" s="526">
        <f>SUM('Palo Seco'!$B$75,'Palo Seco'!$C$75,'Palo Seco'!$D$75)</f>
        <v>674583</v>
      </c>
      <c r="H79" s="526">
        <f>SUM('Palo Seco'!$B$76,'Palo Seco'!$C$76,'Palo Seco'!$D$76)</f>
        <v>782907</v>
      </c>
      <c r="I79" s="526">
        <f>SUM('Palo Seco'!$B$77,'Palo Seco'!$C$77,'Palo Seco'!$D$77)</f>
        <v>858732</v>
      </c>
      <c r="J79" s="526">
        <f>SUM('Palo Seco'!$B$78,'Palo Seco'!$C$78,'Palo Seco'!$D$78)</f>
        <v>895979</v>
      </c>
      <c r="K79" s="526">
        <f>SUM('Palo Seco'!$B$79,'Palo Seco'!$C$79,'Palo Seco'!$D$79)</f>
        <v>363056</v>
      </c>
      <c r="L79" s="526">
        <f>SUM('Palo Seco'!$B$80,'Palo Seco'!$C$80,'Palo Seco'!$D$80)</f>
        <v>1193704</v>
      </c>
      <c r="M79" s="526">
        <f>SUM('Palo Seco'!$B$81,'Palo Seco'!$C$81,'Palo Seco'!$D$81)</f>
        <v>923570</v>
      </c>
      <c r="N79" s="526">
        <f>SUM('Palo Seco'!$B$82,'Palo Seco'!$C$82,'Palo Seco'!$D$82)</f>
        <v>607760</v>
      </c>
      <c r="O79" s="527">
        <f t="shared" ref="O79:O89" si="15">SUM(C79:N79)</f>
        <v>11997944</v>
      </c>
    </row>
    <row r="80" spans="1:15" ht="21.75" hidden="1" customHeight="1" x14ac:dyDescent="0.2">
      <c r="A80" s="513" t="s">
        <v>404</v>
      </c>
      <c r="B80" s="513" t="s">
        <v>74</v>
      </c>
      <c r="C80" s="534">
        <f>'Palo Seco'!$I$71</f>
        <v>0</v>
      </c>
      <c r="D80" s="534">
        <f>'Palo Seco'!$I$72</f>
        <v>0</v>
      </c>
      <c r="E80" s="534">
        <f>'Palo Seco'!$I$73</f>
        <v>0</v>
      </c>
      <c r="F80" s="534">
        <f>'Palo Seco'!$I$74</f>
        <v>0</v>
      </c>
      <c r="G80" s="534">
        <f>'Palo Seco'!$I$75</f>
        <v>0</v>
      </c>
      <c r="H80" s="534">
        <f>'Palo Seco'!$I$76</f>
        <v>0</v>
      </c>
      <c r="I80" s="534">
        <f>'Palo Seco'!$I$77</f>
        <v>0</v>
      </c>
      <c r="J80" s="534">
        <f>'Palo Seco'!$I$78</f>
        <v>0</v>
      </c>
      <c r="K80" s="534">
        <f>'Palo Seco'!$I$79</f>
        <v>0</v>
      </c>
      <c r="L80" s="534">
        <f>'Palo Seco'!$I$80</f>
        <v>0</v>
      </c>
      <c r="M80" s="534">
        <f>'Palo Seco'!$I$81</f>
        <v>0</v>
      </c>
      <c r="N80" s="534">
        <f>'Palo Seco'!$I$82</f>
        <v>0</v>
      </c>
      <c r="O80" s="527">
        <f t="shared" si="15"/>
        <v>0</v>
      </c>
    </row>
    <row r="81" spans="1:15" ht="21.75" customHeight="1" x14ac:dyDescent="0.2">
      <c r="A81" s="513" t="s">
        <v>18</v>
      </c>
      <c r="B81" s="513" t="s">
        <v>96</v>
      </c>
      <c r="C81" s="514">
        <f>(((((9.19*C76)+3.22)/'Cálculos PS'!$B$19)*(C75))/'Cálculos PS'!$F$19)+(('Cálculos PS'!$J$18*(C77)*'Cálculos PS'!$N$18)/'Cálculos PS'!$P$19)+((((C79)*'MPs PS'!$E$44*'MPs PS'!$H$44+(C80)*'MPs PS'!$O$44*'MPs PS'!$R$44/1000000)/2000))</f>
        <v>27.533155973099998</v>
      </c>
      <c r="D81" s="514">
        <f>(((((9.19*D76)+3.22)/'Cálculos PS'!$B$19)*(D75))/'Cálculos PS'!$F$19)+(('Cálculos PS'!$J$18*(D77)*'Cálculos PS'!$N$18)/'Cálculos PS'!$P$19)+((((D79)*'MPs PS'!$E$44*'MPs PS'!$H$44+(D80)*'MPs PS'!$O$44*'MPs PS'!$R$44/1000000)/2000))</f>
        <v>26.025317119500002</v>
      </c>
      <c r="E81" s="514">
        <f>(((((9.19*E76)+3.22)/'Cálculos PS'!$B$19)*(E75))/'Cálculos PS'!$F$19)+(('Cálculos PS'!$J$18*(E77)*'Cálculos PS'!$N$18)/'Cálculos PS'!$P$19)+((((E79)*'MPs PS'!$E$44*'MPs PS'!$H$44+(E80)*'MPs PS'!$O$44*'MPs PS'!$R$44/1000000)/2000))</f>
        <v>27.196349846327998</v>
      </c>
      <c r="F81" s="514">
        <f>(((((9.19*F76)+3.22)/'Cálculos PS'!$B$19)*(F75))/'Cálculos PS'!$F$19)+(('Cálculos PS'!$J$18*(F77)*'Cálculos PS'!$N$18)/'Cálculos PS'!$P$19)+((((F79)*'MPs PS'!$E$44*'MPs PS'!$H$44+(F80)*'MPs PS'!$O$44*'MPs PS'!$R$44/1000000)/2000))</f>
        <v>25.517368897800001</v>
      </c>
      <c r="G81" s="514">
        <f>(((((9.19*G76)+3.22)/'Cálculos PS'!$B$19)*(G75))/'Cálculos PS'!$F$19)+(('Cálculos PS'!$J$18*(G77)*'Cálculos PS'!$N$18)/'Cálculos PS'!$P$19)+((((G79)*'MPs PS'!$E$44*'MPs PS'!$H$44+(G80)*'MPs PS'!$O$44*'MPs PS'!$R$44/1000000)/2000))</f>
        <v>27.700808154000001</v>
      </c>
      <c r="H81" s="514">
        <f>(((((9.19*H76)+3.22)/'Cálculos PS'!$B$19)*(H75))/'Cálculos PS'!$F$19)+(('Cálculos PS'!$J$18*(H77)*'Cálculos PS'!$N$18)/'Cálculos PS'!$P$19)+((((H79)*'MPs PS'!$E$44*'MPs PS'!$H$44+(H80)*'MPs PS'!$O$44*'MPs PS'!$R$44/1000000)/2000))</f>
        <v>18.972897130799996</v>
      </c>
      <c r="I81" s="514">
        <f>(((((9.19*I76)+3.22)/'Cálculos PS'!$B$19)*(I75))/'Cálculos PS'!$F$19)+(('Cálculos PS'!$J$18*(I77)*'Cálculos PS'!$N$18)/'Cálculos PS'!$P$19)+((((I79)*'MPs PS'!$E$44*'MPs PS'!$H$44+(I80)*'MPs PS'!$O$44*'MPs PS'!$R$44/1000000)/2000))</f>
        <v>23.5851318948</v>
      </c>
      <c r="J81" s="514">
        <f>(((((9.19*J76)+3.22)/'Cálculos PS'!$B$19)*(J75))/'Cálculos PS'!$F$19)+(('Cálculos PS'!$J$18*(J77)*'Cálculos PS'!$N$18)/'Cálculos PS'!$P$19)+((((J79)*'MPs PS'!$E$44*'MPs PS'!$H$44+(J80)*'MPs PS'!$O$44*'MPs PS'!$R$44/1000000)/2000))</f>
        <v>23.014881935100004</v>
      </c>
      <c r="K81" s="514">
        <f>(((((9.19*K76)+3.22)/'Cálculos PS'!$B$19)*(K75))/'Cálculos PS'!$F$19)+(('Cálculos PS'!$J$18*(K77)*'Cálculos PS'!$N$18)/'Cálculos PS'!$P$19)+((((K79)*'MPs PS'!$E$44*'MPs PS'!$H$44+(K80)*'MPs PS'!$O$44*'MPs PS'!$R$44/1000000)/2000))</f>
        <v>20.14793968935</v>
      </c>
      <c r="L81" s="514">
        <f>(((((9.19*L76)+3.22)/'Cálculos PS'!$B$19)*(L75))/'Cálculos PS'!$F$19)+(('Cálculos PS'!$J$18*(L77)*'Cálculos PS'!$N$18)/'Cálculos PS'!$P$19)+((((L79)*'MPs PS'!$E$44*'MPs PS'!$H$44+(L80)*'MPs PS'!$O$44*'MPs PS'!$R$44/1000000)/2000))</f>
        <v>40.618303324199992</v>
      </c>
      <c r="M81" s="514">
        <f>(((((9.19*M76)+3.22)/'Cálculos PS'!$B$19)*(M75))/'Cálculos PS'!$F$19)+(('Cálculos PS'!$J$18*(M77)*'Cálculos PS'!$N$18)/'Cálculos PS'!$P$19)+((((M79)*'MPs PS'!$E$44*'MPs PS'!$H$44+(M80)*'MPs PS'!$O$44*'MPs PS'!$R$44/1000000)/2000))</f>
        <v>28.229137907550005</v>
      </c>
      <c r="N81" s="514">
        <f>(((((9.19*N76)+3.22)/'Cálculos PS'!$B$19)*(N75))/'Cálculos PS'!$F$19)+(('Cálculos PS'!$J$18*(N77)*'Cálculos PS'!$N$18)/'Cálculos PS'!$P$19)+((((N79)*'MPs PS'!$E$44*'MPs PS'!$H$44+(N80)*'MPs PS'!$O$44*'MPs PS'!$R$44/1000000)/2000))</f>
        <v>40.502337742400002</v>
      </c>
      <c r="O81" s="532">
        <f t="shared" si="15"/>
        <v>329.04362961492802</v>
      </c>
    </row>
    <row r="82" spans="1:15" ht="21.75" customHeight="1" x14ac:dyDescent="0.2">
      <c r="A82" s="513" t="s">
        <v>377</v>
      </c>
      <c r="B82" s="513" t="s">
        <v>96</v>
      </c>
      <c r="C82" s="514">
        <f>((((157*C76)/'Cálculos PS'!$B$29)*(C75))/'Cálculos PS'!$F$29)+(((1.01*C78)*(C77)*'Cálculos PS'!$N$28)/'Cálculos PS'!$P$29)+((((C79)*'MPs PS'!$E$56*'MPs PS'!$H$56+C80*'MPs PS'!$O$56*'MPs PS'!$R$56/1000000)/2000))</f>
        <v>261.68120462868001</v>
      </c>
      <c r="D82" s="514">
        <f>((((157*D76)/'Cálculos PS'!$B$29)*(D75))/'Cálculos PS'!$F$29)+(((1.01*D78)*(D77)*'Cálculos PS'!$N$28)/'Cálculos PS'!$P$29)+((((D79)*'MPs PS'!$E$56*'MPs PS'!$H$56+D80*'MPs PS'!$O$56*'MPs PS'!$R$56/1000000)/2000))</f>
        <v>248.52300352649999</v>
      </c>
      <c r="E82" s="514">
        <f>((((157*E76)/'Cálculos PS'!$B$29)*(E75))/'Cálculos PS'!$F$29)+(((1.01*E78)*(E77)*'Cálculos PS'!$N$28)/'Cálculos PS'!$P$29)+((((E79)*'MPs PS'!$E$56*'MPs PS'!$H$56+E80*'MPs PS'!$O$56*'MPs PS'!$R$56/1000000)/2000))</f>
        <v>241.76870506731001</v>
      </c>
      <c r="F82" s="514">
        <f>((((157*F76)/'Cálculos PS'!$B$29)*(F75))/'Cálculos PS'!$F$29)+(((1.01*F78)*(F77)*'Cálculos PS'!$N$28)/'Cálculos PS'!$P$29)+((((F79)*'MPs PS'!$E$56*'MPs PS'!$H$56+F80*'MPs PS'!$O$56*'MPs PS'!$R$56/1000000)/2000))</f>
        <v>211.44638873300997</v>
      </c>
      <c r="G82" s="514">
        <f>((((157*G76)/'Cálculos PS'!$B$29)*(G75))/'Cálculos PS'!$F$29)+(((1.01*G78)*(G77)*'Cálculos PS'!$N$28)/'Cálculos PS'!$P$29)+((((G79)*'MPs PS'!$E$56*'MPs PS'!$H$56+G80*'MPs PS'!$O$56*'MPs PS'!$R$56/1000000)/2000))</f>
        <v>264.87306253948799</v>
      </c>
      <c r="H82" s="514">
        <f>((((157*H76)/'Cálculos PS'!$B$29)*(H75))/'Cálculos PS'!$F$29)+(((1.01*H78)*(H77)*'Cálculos PS'!$N$28)/'Cálculos PS'!$P$29)+((((H79)*'MPs PS'!$E$56*'MPs PS'!$H$56+H80*'MPs PS'!$O$56*'MPs PS'!$R$56/1000000)/2000))</f>
        <v>176.28594050286299</v>
      </c>
      <c r="I82" s="514">
        <f>((((157*I76)/'Cálculos PS'!$B$29)*(I75))/'Cálculos PS'!$F$29)+(((1.01*I78)*(I77)*'Cálculos PS'!$N$28)/'Cálculos PS'!$P$29)+((((I79)*'MPs PS'!$E$56*'MPs PS'!$H$56+I80*'MPs PS'!$O$56*'MPs PS'!$R$56/1000000)/2000))</f>
        <v>217.12128118972194</v>
      </c>
      <c r="J82" s="514">
        <f>((((157*J76)/'Cálculos PS'!$B$29)*(J75))/'Cálculos PS'!$F$29)+(((1.01*J78)*(J77)*'Cálculos PS'!$N$28)/'Cálculos PS'!$P$29)+((((J79)*'MPs PS'!$E$56*'MPs PS'!$H$56+J80*'MPs PS'!$O$56*'MPs PS'!$R$56/1000000)/2000))</f>
        <v>205.34918558898605</v>
      </c>
      <c r="K82" s="514">
        <f>((((157*K76)/'Cálculos PS'!$B$29)*(K75))/'Cálculos PS'!$F$29)+(((1.01*K78)*(K77)*'Cálculos PS'!$N$28)/'Cálculos PS'!$P$29)+((((K79)*'MPs PS'!$E$56*'MPs PS'!$H$56+K80*'MPs PS'!$O$56*'MPs PS'!$R$56/1000000)/2000))</f>
        <v>181.17659144997</v>
      </c>
      <c r="L82" s="514">
        <f>((((157*L76)/'Cálculos PS'!$B$29)*(L75))/'Cálculos PS'!$F$29)+(((1.01*L78)*(L77)*'Cálculos PS'!$N$28)/'Cálculos PS'!$P$29)+((((L79)*'MPs PS'!$E$56*'MPs PS'!$H$56+L80*'MPs PS'!$O$56*'MPs PS'!$R$56/1000000)/2000))</f>
        <v>378.76296524238001</v>
      </c>
      <c r="M82" s="514">
        <f>((((157*M76)/'Cálculos PS'!$B$29)*(M75))/'Cálculos PS'!$F$29)+(((1.01*M78)*(M77)*'Cálculos PS'!$N$28)/'Cálculos PS'!$P$29)+((((M79)*'MPs PS'!$E$56*'MPs PS'!$H$56+M80*'MPs PS'!$O$56*'MPs PS'!$R$56/1000000)/2000))</f>
        <v>256.07266154716501</v>
      </c>
      <c r="N82" s="514">
        <f>((((157*N76)/'Cálculos PS'!$B$29)*(N75))/'Cálculos PS'!$F$29)+(((1.01*N78)*(N77)*'Cálculos PS'!$N$28)/'Cálculos PS'!$P$29)+((((N79)*'MPs PS'!$E$56*'MPs PS'!$H$56+N80*'MPs PS'!$O$56*'MPs PS'!$R$56/1000000)/2000))</f>
        <v>378.00278606972</v>
      </c>
      <c r="O82" s="532">
        <f t="shared" si="15"/>
        <v>3021.0637760857935</v>
      </c>
    </row>
    <row r="83" spans="1:15" ht="21.75" customHeight="1" x14ac:dyDescent="0.2">
      <c r="A83" s="513" t="s">
        <v>20</v>
      </c>
      <c r="B83" s="513" t="s">
        <v>96</v>
      </c>
      <c r="C83" s="514">
        <f>('Cálculos PS'!$B$38*(C75)*0.15/2000)+(('Cálculos PS'!$J$38*(C77)*'Cálculos PS'!$N$38)/'Cálculos PS'!$P$39)+((((C79)*'MPs PS'!$E$20*'MPs PS'!$H$20+(C80)*'MPs PS'!$O$20*'MPs PS'!$R$20/1000000)/2000))</f>
        <v>219.90853575779997</v>
      </c>
      <c r="D83" s="514">
        <f>('Cálculos PS'!$B$38*(D75)*0.15/2000)+(('Cálculos PS'!$J$38*(D77)*'Cálculos PS'!$N$38)/'Cálculos PS'!$P$39)+((((D79)*'MPs PS'!$E$20*'MPs PS'!$H$20+(D80)*'MPs PS'!$O$20*'MPs PS'!$R$20/1000000)/2000))</f>
        <v>194.2597783731</v>
      </c>
      <c r="E83" s="514">
        <f>('Cálculos PS'!$B$38*(E75)*0.15/2000)+(('Cálculos PS'!$J$38*(E77)*'Cálculos PS'!$N$38)/'Cálculos PS'!$P$39)+((((E79)*'MPs PS'!$E$20*'MPs PS'!$H$20+(E80)*'MPs PS'!$O$20*'MPs PS'!$R$20/1000000)/2000))</f>
        <v>240.38385895122002</v>
      </c>
      <c r="F83" s="514">
        <f>('Cálculos PS'!$B$38*(F75)*0.15/2000)+(('Cálculos PS'!$J$38*(F77)*'Cálculos PS'!$N$38)/'Cálculos PS'!$P$39)+((((F79)*'MPs PS'!$E$20*'MPs PS'!$H$20+(F80)*'MPs PS'!$O$20*'MPs PS'!$R$20/1000000)/2000))</f>
        <v>242.68820776530004</v>
      </c>
      <c r="G83" s="514">
        <f>('Cálculos PS'!$B$38*(G75)*0.15/2000)+(('Cálculos PS'!$J$38*(G77)*'Cálculos PS'!$N$38)/'Cálculos PS'!$P$39)+((((G79)*'MPs PS'!$E$20*'MPs PS'!$H$20+(G80)*'MPs PS'!$O$20*'MPs PS'!$R$20/1000000)/2000))</f>
        <v>200.14770527370001</v>
      </c>
      <c r="H83" s="514">
        <f>('Cálculos PS'!$B$38*(H75)*0.15/2000)+(('Cálculos PS'!$J$38*(H77)*'Cálculos PS'!$N$38)/'Cálculos PS'!$P$39)+((((H79)*'MPs PS'!$E$20*'MPs PS'!$H$20+(H80)*'MPs PS'!$O$20*'MPs PS'!$R$20/1000000)/2000))</f>
        <v>146.9738282973</v>
      </c>
      <c r="I83" s="514">
        <f>('Cálculos PS'!$B$38*(I75)*0.15/2000)+(('Cálculos PS'!$J$38*(I77)*'Cálculos PS'!$N$38)/'Cálculos PS'!$P$39)+((((I79)*'MPs PS'!$E$20*'MPs PS'!$H$20+(I80)*'MPs PS'!$O$20*'MPs PS'!$R$20/1000000)/2000))</f>
        <v>194.22214935480002</v>
      </c>
      <c r="J83" s="514">
        <f>('Cálculos PS'!$B$38*(J75)*0.15/2000)+(('Cálculos PS'!$J$38*(J77)*'Cálculos PS'!$N$38)/'Cálculos PS'!$P$39)+((((J79)*'MPs PS'!$E$20*'MPs PS'!$H$20+(J80)*'MPs PS'!$O$20*'MPs PS'!$R$20/1000000)/2000))</f>
        <v>182.85726693810003</v>
      </c>
      <c r="K83" s="514">
        <f>('Cálculos PS'!$B$38*(K75)*0.15/2000)+(('Cálculos PS'!$J$38*(K77)*'Cálculos PS'!$N$38)/'Cálculos PS'!$P$39)+((((K79)*'MPs PS'!$E$20*'MPs PS'!$H$20+(K80)*'MPs PS'!$O$20*'MPs PS'!$R$20/1000000)/2000))</f>
        <v>154.88510427840001</v>
      </c>
      <c r="L83" s="514">
        <f>('Cálculos PS'!$B$38*(L75)*0.15/2000)+(('Cálculos PS'!$J$38*(L77)*'Cálculos PS'!$N$38)/'Cálculos PS'!$P$39)+((((L79)*'MPs PS'!$E$20*'MPs PS'!$H$20+(L80)*'MPs PS'!$O$20*'MPs PS'!$R$20/1000000)/2000))</f>
        <v>303.20473540559999</v>
      </c>
      <c r="M83" s="514">
        <f>('Cálculos PS'!$B$38*(M75)*0.15/2000)+(('Cálculos PS'!$J$38*(M77)*'Cálculos PS'!$N$38)/'Cálculos PS'!$P$39)+((((M79)*'MPs PS'!$E$20*'MPs PS'!$H$20+(M80)*'MPs PS'!$O$20*'MPs PS'!$R$20/1000000)/2000))</f>
        <v>218.09775132299998</v>
      </c>
      <c r="N83" s="514">
        <f>('Cálculos PS'!$B$38*(N75)*0.15/2000)+(('Cálculos PS'!$J$38*(N77)*'Cálculos PS'!$N$38)/'Cálculos PS'!$P$39)+((((N79)*'MPs PS'!$E$20*'MPs PS'!$H$20+(N80)*'MPs PS'!$O$20*'MPs PS'!$R$20/1000000)/2000))</f>
        <v>291.625846524</v>
      </c>
      <c r="O83" s="532">
        <f t="shared" si="15"/>
        <v>2589.2547682423201</v>
      </c>
    </row>
    <row r="84" spans="1:15" ht="21.75" customHeight="1" x14ac:dyDescent="0.2">
      <c r="A84" s="513" t="s">
        <v>22</v>
      </c>
      <c r="B84" s="513" t="s">
        <v>96</v>
      </c>
      <c r="C84" s="514">
        <f>((('Cálculos PS'!$B$48/'Cálculos PS'!$B$49)*(C75))/'Cálculos PS'!$F$49)+(('Cálculos PS'!$J$48*(C77)*'Cálculos PS'!$N$48)/'Cálculos PS'!$P$49)+((((C79)*'MPs PS'!$E$32*'MPs PS'!$H$32+(C80)*'MPs PS'!$O$32*'MPs PS'!$R$32/1000000)/2000))</f>
        <v>2.8739613400200001</v>
      </c>
      <c r="D84" s="514">
        <f>((('Cálculos PS'!$B$48/'Cálculos PS'!$B$49)*(D75))/'Cálculos PS'!$F$49)+(('Cálculos PS'!$J$48*(D77)*'Cálculos PS'!$N$48)/'Cálculos PS'!$P$49)+((((D79)*'MPs PS'!$E$32*'MPs PS'!$H$32+(D80)*'MPs PS'!$O$32*'MPs PS'!$R$32/1000000)/2000))</f>
        <v>2.7551709583500004</v>
      </c>
      <c r="E84" s="514">
        <f>((('Cálculos PS'!$B$48/'Cálculos PS'!$B$49)*(E75))/'Cálculos PS'!$F$49)+(('Cálculos PS'!$J$48*(E77)*'Cálculos PS'!$N$48)/'Cálculos PS'!$P$49)+((((E79)*'MPs PS'!$E$32*'MPs PS'!$H$32+(E80)*'MPs PS'!$O$32*'MPs PS'!$R$32/1000000)/2000))</f>
        <v>3.2726050667382904</v>
      </c>
      <c r="F84" s="514">
        <f>((('Cálculos PS'!$B$48/'Cálculos PS'!$B$49)*(F75))/'Cálculos PS'!$F$49)+(('Cálculos PS'!$J$48*(F77)*'Cálculos PS'!$N$48)/'Cálculos PS'!$P$49)+((((F79)*'MPs PS'!$E$32*'MPs PS'!$H$32+(F80)*'MPs PS'!$O$32*'MPs PS'!$R$32/1000000)/2000))</f>
        <v>3.4481234252100004</v>
      </c>
      <c r="G84" s="514">
        <f>((('Cálculos PS'!$B$48/'Cálculos PS'!$B$49)*(G75))/'Cálculos PS'!$F$49)+(('Cálculos PS'!$J$48*(G77)*'Cálculos PS'!$N$48)/'Cálculos PS'!$P$49)+((((G79)*'MPs PS'!$E$32*'MPs PS'!$H$32+(G80)*'MPs PS'!$O$32*'MPs PS'!$R$32/1000000)/2000))</f>
        <v>2.9563008468600005</v>
      </c>
      <c r="H84" s="514">
        <f>((('Cálculos PS'!$B$48/'Cálculos PS'!$B$49)*(H75))/'Cálculos PS'!$F$49)+(('Cálculos PS'!$J$48*(H77)*'Cálculos PS'!$N$48)/'Cálculos PS'!$P$49)+((((H79)*'MPs PS'!$E$32*'MPs PS'!$H$32+(H80)*'MPs PS'!$O$32*'MPs PS'!$R$32/1000000)/2000))</f>
        <v>2.1352431782100001</v>
      </c>
      <c r="I84" s="514">
        <f>((('Cálculos PS'!$B$48/'Cálculos PS'!$B$49)*(I75))/'Cálculos PS'!$F$49)+(('Cálculos PS'!$J$48*(I77)*'Cálculos PS'!$N$48)/'Cálculos PS'!$P$49)+((((I79)*'MPs PS'!$E$32*'MPs PS'!$H$32+(I80)*'MPs PS'!$O$32*'MPs PS'!$R$32/1000000)/2000))</f>
        <v>2.6281362563400004</v>
      </c>
      <c r="J84" s="514">
        <f>((('Cálculos PS'!$B$48/'Cálculos PS'!$B$49)*(J75))/'Cálculos PS'!$F$49)+(('Cálculos PS'!$J$48*(J77)*'Cálculos PS'!$N$48)/'Cálculos PS'!$P$49)+((((J79)*'MPs PS'!$E$32*'MPs PS'!$H$32+(J80)*'MPs PS'!$O$32*'MPs PS'!$R$32/1000000)/2000))</f>
        <v>2.7084017131200002</v>
      </c>
      <c r="K84" s="514">
        <f>((('Cálculos PS'!$B$48/'Cálculos PS'!$B$49)*(K75))/'Cálculos PS'!$F$49)+(('Cálculos PS'!$J$48*(K77)*'Cálculos PS'!$N$48)/'Cálculos PS'!$P$49)+((((K79)*'MPs PS'!$E$32*'MPs PS'!$H$32+(K80)*'MPs PS'!$O$32*'MPs PS'!$R$32/1000000)/2000))</f>
        <v>2.2891535159400003</v>
      </c>
      <c r="L84" s="514">
        <f>((('Cálculos PS'!$B$48/'Cálculos PS'!$B$49)*(L75))/'Cálculos PS'!$F$49)+(('Cálculos PS'!$J$48*(L77)*'Cálculos PS'!$N$48)/'Cálculos PS'!$P$49)+((((L79)*'MPs PS'!$E$32*'MPs PS'!$H$32+(L80)*'MPs PS'!$O$32*'MPs PS'!$R$32/1000000)/2000))</f>
        <v>4.500593469</v>
      </c>
      <c r="M84" s="514">
        <f>((('Cálculos PS'!$B$48/'Cálculos PS'!$B$49)*(M75))/'Cálculos PS'!$F$49)+(('Cálculos PS'!$J$48*(M77)*'Cálculos PS'!$N$48)/'Cálculos PS'!$P$49)+((((M79)*'MPs PS'!$E$32*'MPs PS'!$H$32+(M80)*'MPs PS'!$O$32*'MPs PS'!$R$32/1000000)/2000))</f>
        <v>3.2404627819500007</v>
      </c>
      <c r="N84" s="514">
        <f>((('Cálculos PS'!$B$48/'Cálculos PS'!$B$49)*(N75))/'Cálculos PS'!$F$49)+(('Cálculos PS'!$J$48*(N77)*'Cálculos PS'!$N$48)/'Cálculos PS'!$P$49)+((((N79)*'MPs PS'!$E$32*'MPs PS'!$H$32+(N80)*'MPs PS'!$O$32*'MPs PS'!$R$32/1000000)/2000))</f>
        <v>4.4148333505200004</v>
      </c>
      <c r="O84" s="532">
        <f t="shared" si="15"/>
        <v>37.222985902258294</v>
      </c>
    </row>
    <row r="85" spans="1:15" ht="21.75" customHeight="1" x14ac:dyDescent="0.2">
      <c r="A85" s="513" t="s">
        <v>21</v>
      </c>
      <c r="B85" s="513" t="s">
        <v>96</v>
      </c>
      <c r="C85" s="514">
        <f>((('Cálculos PS'!$B$58/'Cálculos PS'!$B$59)*(C75))/'Cálculos PS'!$F$59)+(('Cálculos PS'!$J$58*(C77)*'Cálculos PS'!$N$58)/'Cálculos PS'!$P$59)+((((C79)*'MPs PS'!$E$26*'MPs PS'!$H$26+(C80)*'MPs PS'!$O$26*'MPs PS'!$R$26/1000000)/2000))</f>
        <v>18.465923891999999</v>
      </c>
      <c r="D85" s="514">
        <f>((('Cálculos PS'!$B$58/'Cálculos PS'!$B$59)*(D75))/'Cálculos PS'!$F$59)+(('Cálculos PS'!$J$58*(D77)*'Cálculos PS'!$N$58)/'Cálculos PS'!$P$59)+((((D79)*'MPs PS'!$E$26*'MPs PS'!$H$26+(D80)*'MPs PS'!$O$26*'MPs PS'!$R$26/1000000)/2000))</f>
        <v>17.639646646800003</v>
      </c>
      <c r="E85" s="514">
        <f>((('Cálculos PS'!$B$58/'Cálculos PS'!$B$59)*(E75))/'Cálculos PS'!$F$59)+(('Cálculos PS'!$J$58*(E77)*'Cálculos PS'!$N$58)/'Cálculos PS'!$P$59)+((((E79)*'MPs PS'!$E$26*'MPs PS'!$H$26+(E80)*'MPs PS'!$O$26*'MPs PS'!$R$26/1000000)/2000))</f>
        <v>19.9958784140277</v>
      </c>
      <c r="F85" s="514">
        <f>((('Cálculos PS'!$B$58/'Cálculos PS'!$B$59)*(F75))/'Cálculos PS'!$F$59)+(('Cálculos PS'!$J$58*(F77)*'Cálculos PS'!$N$58)/'Cálculos PS'!$P$59)+((((F79)*'MPs PS'!$E$26*'MPs PS'!$H$26+(F80)*'MPs PS'!$O$26*'MPs PS'!$R$26/1000000)/2000))</f>
        <v>20.414510179200001</v>
      </c>
      <c r="G85" s="514">
        <f>((('Cálculos PS'!$B$58/'Cálculos PS'!$B$59)*(G75))/'Cálculos PS'!$F$59)+(('Cálculos PS'!$J$58*(G77)*'Cálculos PS'!$N$58)/'Cálculos PS'!$P$59)+((((G79)*'MPs PS'!$E$26*'MPs PS'!$H$26+(G80)*'MPs PS'!$O$26*'MPs PS'!$R$26/1000000)/2000))</f>
        <v>18.8865625569</v>
      </c>
      <c r="H85" s="514">
        <f>((('Cálculos PS'!$B$58/'Cálculos PS'!$B$59)*(H75))/'Cálculos PS'!$F$59)+(('Cálculos PS'!$J$58*(H77)*'Cálculos PS'!$N$58)/'Cálculos PS'!$P$59)+((((H79)*'MPs PS'!$E$26*'MPs PS'!$H$26+(H80)*'MPs PS'!$O$26*'MPs PS'!$R$26/1000000)/2000))</f>
        <v>13.393847905200001</v>
      </c>
      <c r="I85" s="514">
        <f>((('Cálculos PS'!$B$58/'Cálculos PS'!$B$59)*(I75))/'Cálculos PS'!$F$59)+(('Cálculos PS'!$J$58*(I77)*'Cálculos PS'!$N$58)/'Cálculos PS'!$P$59)+((((I79)*'MPs PS'!$E$26*'MPs PS'!$H$26+(I80)*'MPs PS'!$O$26*'MPs PS'!$R$26/1000000)/2000))</f>
        <v>16.583399964599998</v>
      </c>
      <c r="J85" s="514">
        <f>((('Cálculos PS'!$B$58/'Cálculos PS'!$B$59)*(J75))/'Cálculos PS'!$F$59)+(('Cálculos PS'!$J$58*(J77)*'Cálculos PS'!$N$58)/'Cálculos PS'!$P$59)+((((J79)*'MPs PS'!$E$26*'MPs PS'!$H$26+(J80)*'MPs PS'!$O$26*'MPs PS'!$R$26/1000000)/2000))</f>
        <v>17.068373331900002</v>
      </c>
      <c r="K85" s="514">
        <f>((('Cálculos PS'!$B$58/'Cálculos PS'!$B$59)*(K75))/'Cálculos PS'!$F$59)+(('Cálculos PS'!$J$58*(K77)*'Cálculos PS'!$N$58)/'Cálculos PS'!$P$59)+((((K79)*'MPs PS'!$E$26*'MPs PS'!$H$26+(K80)*'MPs PS'!$O$26*'MPs PS'!$R$26/1000000)/2000))</f>
        <v>14.758533335400001</v>
      </c>
      <c r="L85" s="514">
        <f>((('Cálculos PS'!$B$58/'Cálculos PS'!$B$59)*(L75))/'Cálculos PS'!$F$59)+(('Cálculos PS'!$J$58*(L77)*'Cálculos PS'!$N$58)/'Cálculos PS'!$P$59)+((((L79)*'MPs PS'!$E$26*'MPs PS'!$H$26+(L80)*'MPs PS'!$O$26*'MPs PS'!$R$26/1000000)/2000))</f>
        <v>28.610912578800001</v>
      </c>
      <c r="M85" s="514">
        <f>((('Cálculos PS'!$B$58/'Cálculos PS'!$B$59)*(M75))/'Cálculos PS'!$F$59)+(('Cálculos PS'!$J$58*(M77)*'Cálculos PS'!$N$58)/'Cálculos PS'!$P$59)+((((M79)*'MPs PS'!$E$26*'MPs PS'!$H$26+(M80)*'MPs PS'!$O$26*'MPs PS'!$R$26/1000000)/2000))</f>
        <v>20.545951432500001</v>
      </c>
      <c r="N85" s="514">
        <f>((('Cálculos PS'!$B$58/'Cálculos PS'!$B$59)*(N75))/'Cálculos PS'!$F$59)+(('Cálculos PS'!$J$58*(N77)*'Cálculos PS'!$N$58)/'Cálculos PS'!$P$59)+((((N79)*'MPs PS'!$E$26*'MPs PS'!$H$26+(N80)*'MPs PS'!$O$26*'MPs PS'!$R$26/1000000)/2000))</f>
        <v>28.535966439599999</v>
      </c>
      <c r="O85" s="532">
        <f t="shared" si="15"/>
        <v>234.8995066769277</v>
      </c>
    </row>
    <row r="86" spans="1:15" ht="21.75" customHeight="1" x14ac:dyDescent="0.2">
      <c r="A86" s="513" t="s">
        <v>23</v>
      </c>
      <c r="B86" s="513" t="s">
        <v>96</v>
      </c>
      <c r="C86" s="519">
        <f>((('Cálculos PS'!$B$68/'Cálculos PS'!$B$69)*(C75))/'Cálculos PS'!$F$69)+(('Cálculos PS'!$J$68*(C77)*'Cálculos PS'!$N$68)/'Cálculos PS'!$P$69)+((((C79)*'MPs PS'!$E$68*'MPs PS'!$H$68+(C80)*'MPs PS'!$O$68*'MPs PS'!$R$68/1000000)/2000))</f>
        <v>6.3819497700000009E-3</v>
      </c>
      <c r="D86" s="519">
        <f>((('Cálculos PS'!$B$68/'Cálculos PS'!$B$69)*(D75))/'Cálculos PS'!$F$69)+(('Cálculos PS'!$J$68*(D77)*'Cálculos PS'!$N$68)/'Cálculos PS'!$P$69)+((((D79)*'MPs PS'!$E$68*'MPs PS'!$H$68+(D80)*'MPs PS'!$O$68*'MPs PS'!$R$68/1000000)/2000))</f>
        <v>5.8806355439999999E-3</v>
      </c>
      <c r="E86" s="519">
        <f>((('Cálculos PS'!$B$68/'Cálculos PS'!$B$69)*(E75))/'Cálculos PS'!$F$69)+(('Cálculos PS'!$J$68*(E77)*'Cálculos PS'!$N$68)/'Cálculos PS'!$P$69)+((((E79)*'MPs PS'!$E$68*'MPs PS'!$H$68+(E80)*'MPs PS'!$O$68*'MPs PS'!$R$68/1000000)/2000))</f>
        <v>7.4784822849660003E-3</v>
      </c>
      <c r="F86" s="519">
        <f>((('Cálculos PS'!$B$68/'Cálculos PS'!$B$69)*(F75))/'Cálculos PS'!$F$69)+(('Cálculos PS'!$J$68*(F77)*'Cálculos PS'!$N$68)/'Cálculos PS'!$P$69)+((((F79)*'MPs PS'!$E$68*'MPs PS'!$H$68+(F80)*'MPs PS'!$O$68*'MPs PS'!$R$68/1000000)/2000))</f>
        <v>7.9470540660000009E-3</v>
      </c>
      <c r="G86" s="519">
        <f>((('Cálculos PS'!$B$68/'Cálculos PS'!$B$69)*(G75))/'Cálculos PS'!$F$69)+(('Cálculos PS'!$J$68*(G77)*'Cálculos PS'!$N$68)/'Cálculos PS'!$P$69)+((((G79)*'MPs PS'!$E$68*'MPs PS'!$H$68+(G80)*'MPs PS'!$O$68*'MPs PS'!$R$68/1000000)/2000))</f>
        <v>6.1942694519999996E-3</v>
      </c>
      <c r="H86" s="519">
        <f>((('Cálculos PS'!$B$68/'Cálculos PS'!$B$69)*(H75))/'Cálculos PS'!$F$69)+(('Cálculos PS'!$J$68*(H77)*'Cálculos PS'!$N$68)/'Cálculos PS'!$P$69)+((((H79)*'MPs PS'!$E$68*'MPs PS'!$H$68+(H80)*'MPs PS'!$O$68*'MPs PS'!$R$68/1000000)/2000))</f>
        <v>4.6002584460000003E-3</v>
      </c>
      <c r="I86" s="519">
        <f>((('Cálculos PS'!$B$68/'Cálculos PS'!$B$69)*(I75))/'Cálculos PS'!$F$69)+(('Cálculos PS'!$J$68*(I77)*'Cálculos PS'!$N$68)/'Cálculos PS'!$P$69)+((((I79)*'MPs PS'!$E$68*'MPs PS'!$H$68+(I80)*'MPs PS'!$O$68*'MPs PS'!$R$68/1000000)/2000))</f>
        <v>5.8364245380000002E-3</v>
      </c>
      <c r="J86" s="519">
        <f>((('Cálculos PS'!$B$68/'Cálculos PS'!$B$69)*(J75))/'Cálculos PS'!$F$69)+(('Cálculos PS'!$J$68*(J77)*'Cálculos PS'!$N$68)/'Cálculos PS'!$P$69)+((((J79)*'MPs PS'!$E$68*'MPs PS'!$H$68+(J80)*'MPs PS'!$O$68*'MPs PS'!$R$68/1000000)/2000))</f>
        <v>5.7507202620000007E-3</v>
      </c>
      <c r="K86" s="519">
        <f>((('Cálculos PS'!$B$68/'Cálculos PS'!$B$69)*(K75))/'Cálculos PS'!$F$69)+(('Cálculos PS'!$J$68*(K77)*'Cálculos PS'!$N$68)/'Cálculos PS'!$P$69)+((((K79)*'MPs PS'!$E$68*'MPs PS'!$H$68+(K80)*'MPs PS'!$O$68*'MPs PS'!$R$68/1000000)/2000))</f>
        <v>4.7469683520000002E-3</v>
      </c>
      <c r="L86" s="519">
        <f>((('Cálculos PS'!$B$68/'Cálculos PS'!$B$69)*(L75))/'Cálculos PS'!$F$69)+(('Cálculos PS'!$J$68*(L77)*'Cálculos PS'!$N$68)/'Cálculos PS'!$P$69)+((((L79)*'MPs PS'!$E$68*'MPs PS'!$H$68+(L80)*'MPs PS'!$O$68*'MPs PS'!$R$68/1000000)/2000))</f>
        <v>9.4571031240000009E-3</v>
      </c>
      <c r="M86" s="519">
        <f>((('Cálculos PS'!$B$68/'Cálculos PS'!$B$69)*(M75))/'Cálculos PS'!$F$69)+(('Cálculos PS'!$J$68*(M77)*'Cálculos PS'!$N$68)/'Cálculos PS'!$P$69)+((((M79)*'MPs PS'!$E$68*'MPs PS'!$H$68+(M80)*'MPs PS'!$O$68*'MPs PS'!$R$68/1000000)/2000))</f>
        <v>6.8252131500000004E-3</v>
      </c>
      <c r="N86" s="519">
        <f>((('Cálculos PS'!$B$68/'Cálculos PS'!$B$69)*(N75))/'Cálculos PS'!$F$69)+(('Cálculos PS'!$J$68*(N77)*'Cálculos PS'!$N$68)/'Cálculos PS'!$P$69)+((((N79)*'MPs PS'!$E$68*'MPs PS'!$H$68+(N80)*'MPs PS'!$O$68*'MPs PS'!$R$68/1000000)/2000))</f>
        <v>9.0176532180000005E-3</v>
      </c>
      <c r="O86" s="533">
        <f t="shared" si="15"/>
        <v>8.0116732206965996E-2</v>
      </c>
    </row>
    <row r="87" spans="1:15" ht="21.75" customHeight="1" x14ac:dyDescent="0.2">
      <c r="A87" s="513" t="s">
        <v>24</v>
      </c>
      <c r="B87" s="513" t="s">
        <v>96</v>
      </c>
      <c r="C87" s="514">
        <f>('Cálculos PS'!$B$78*((C75))/'Cálculos PS'!$F$79)+('Cálculos PS'!$K$78*((C77))/'Cálculos PS'!$O$79)+((((C79)*'MPs PS'!$E$74*'MPs PS'!$H$74+C80*'MPs PS'!$O$74*'MPs PS'!$R$74/1000000)/2000))</f>
        <v>98318.667154977273</v>
      </c>
      <c r="D87" s="514">
        <f>('Cálculos PS'!$B$78*((D75))/'Cálculos PS'!$F$79)+('Cálculos PS'!$K$78*((D77))/'Cálculos PS'!$O$79)+((((D79)*'MPs PS'!$E$74*'MPs PS'!$H$74+D80*'MPs PS'!$O$74*'MPs PS'!$R$74/1000000)/2000))</f>
        <v>91272.323533713206</v>
      </c>
      <c r="E87" s="514">
        <f>('Cálculos PS'!$B$78*((E75))/'Cálculos PS'!$F$79)+('Cálculos PS'!$K$78*((E77))/'Cálculos PS'!$O$79)+((((E79)*'MPs PS'!$E$74*'MPs PS'!$H$74+E80*'MPs PS'!$O$74*'MPs PS'!$R$74/1000000)/2000))</f>
        <v>108886.43191267262</v>
      </c>
      <c r="F87" s="514">
        <f>('Cálculos PS'!$B$78*((F75))/'Cálculos PS'!$F$79)+('Cálculos PS'!$K$78*((F77))/'Cálculos PS'!$O$79)+((((F79)*'MPs PS'!$E$74*'MPs PS'!$H$74+F80*'MPs PS'!$O$74*'MPs PS'!$R$74/1000000)/2000))</f>
        <v>112038.68887471894</v>
      </c>
      <c r="G87" s="514">
        <f>('Cálculos PS'!$B$78*((G75))/'Cálculos PS'!$F$79)+('Cálculos PS'!$K$78*((G77))/'Cálculos PS'!$O$79)+((((G79)*'MPs PS'!$E$74*'MPs PS'!$H$74+G80*'MPs PS'!$O$74*'MPs PS'!$R$74/1000000)/2000))</f>
        <v>96429.833239165499</v>
      </c>
      <c r="H87" s="514">
        <f>('Cálculos PS'!$B$78*((H75))/'Cálculos PS'!$F$79)+('Cálculos PS'!$K$78*((H77))/'Cálculos PS'!$O$79)+((((H79)*'MPs PS'!$E$74*'MPs PS'!$H$74+H80*'MPs PS'!$O$74*'MPs PS'!$R$74/1000000)/2000))</f>
        <v>69756.56586845807</v>
      </c>
      <c r="I87" s="514">
        <f>('Cálculos PS'!$B$78*((I75))/'Cálculos PS'!$F$79)+('Cálculos PS'!$K$78*((I77))/'Cálculos PS'!$O$79)+((((I79)*'MPs PS'!$E$74*'MPs PS'!$H$74+I80*'MPs PS'!$O$74*'MPs PS'!$R$74/1000000)/2000))</f>
        <v>88318.162012044588</v>
      </c>
      <c r="J87" s="514">
        <f>('Cálculos PS'!$B$78*((J75))/'Cálculos PS'!$F$79)+('Cálculos PS'!$K$78*((J77))/'Cálculos PS'!$O$79)+((((J79)*'MPs PS'!$E$74*'MPs PS'!$H$74+J80*'MPs PS'!$O$74*'MPs PS'!$R$74/1000000)/2000))</f>
        <v>87956.554061833202</v>
      </c>
      <c r="K87" s="514">
        <f>('Cálculos PS'!$B$78*((K75))/'Cálculos PS'!$F$79)+('Cálculos PS'!$K$78*((K77))/'Cálculos PS'!$O$79)+((((K79)*'MPs PS'!$E$74*'MPs PS'!$H$74+K80*'MPs PS'!$O$74*'MPs PS'!$R$74/1000000)/2000))</f>
        <v>74822.448318001727</v>
      </c>
      <c r="L87" s="514">
        <f>('Cálculos PS'!$B$78*((L75))/'Cálculos PS'!$F$79)+('Cálculos PS'!$K$78*((L77))/'Cálculos PS'!$O$79)+((((L79)*'MPs PS'!$E$74*'MPs PS'!$H$74+L80*'MPs PS'!$O$74*'MPs PS'!$R$74/1000000)/2000))</f>
        <v>146360.19744514578</v>
      </c>
      <c r="M87" s="514">
        <f>('Cálculos PS'!$B$78*((M75))/'Cálculos PS'!$F$79)+('Cálculos PS'!$K$78*((M77))/'Cálculos PS'!$O$79)+((((M79)*'MPs PS'!$E$74*'MPs PS'!$H$74+M80*'MPs PS'!$O$74*'MPs PS'!$R$74/1000000)/2000))</f>
        <v>105274.45831931903</v>
      </c>
      <c r="N87" s="514">
        <f>('Cálculos PS'!$B$78*((N75))/'Cálculos PS'!$F$79)+('Cálculos PS'!$K$78*((N77))/'Cálculos PS'!$O$79)+((((N79)*'MPs PS'!$E$74*'MPs PS'!$H$74+N80*'MPs PS'!$O$74*'MPs PS'!$R$74/1000000)/2000))</f>
        <v>143152.77990816368</v>
      </c>
      <c r="O87" s="532">
        <f t="shared" si="15"/>
        <v>1222587.1106482134</v>
      </c>
    </row>
    <row r="88" spans="1:15" ht="21.75" customHeight="1" x14ac:dyDescent="0.2">
      <c r="A88" s="513" t="s">
        <v>40</v>
      </c>
      <c r="B88" s="513" t="s">
        <v>96</v>
      </c>
      <c r="C88" s="514">
        <f>((((C79)*'MPs PS'!$E$50*'MPs PS'!$H$50+(C80)*'MPs PS'!$O$50*'MPs PS'!$R$50/1000000)/2000))</f>
        <v>0.67403791260000012</v>
      </c>
      <c r="D88" s="514">
        <f>((((D79)*'MPs PS'!$E$50*'MPs PS'!$H$50+(D80)*'MPs PS'!$O$50*'MPs PS'!$R$50/1000000)/2000))</f>
        <v>0.7206024177</v>
      </c>
      <c r="E88" s="514">
        <f>((((E79)*'MPs PS'!$E$50*'MPs PS'!$H$50+(E80)*'MPs PS'!$O$50*'MPs PS'!$R$50/1000000)/2000))</f>
        <v>2.2529260035000003</v>
      </c>
      <c r="F88" s="514">
        <f>((((F79)*'MPs PS'!$E$50*'MPs PS'!$H$50+(F80)*'MPs PS'!$O$50*'MPs PS'!$R$50/1000000)/2000))</f>
        <v>3.3109772751000004</v>
      </c>
      <c r="G88" s="514">
        <f>((((G79)*'MPs PS'!$E$50*'MPs PS'!$H$50+(G80)*'MPs PS'!$O$50*'MPs PS'!$R$50/1000000)/2000))</f>
        <v>0.82386821790000009</v>
      </c>
      <c r="H88" s="514">
        <f>((((H79)*'MPs PS'!$E$50*'MPs PS'!$H$50+(H80)*'MPs PS'!$O$50*'MPs PS'!$R$50/1000000)/2000))</f>
        <v>0.95616431910000022</v>
      </c>
      <c r="I88" s="514">
        <f>((((I79)*'MPs PS'!$E$50*'MPs PS'!$H$50+(I80)*'MPs PS'!$O$50*'MPs PS'!$R$50/1000000)/2000))</f>
        <v>1.0487693916</v>
      </c>
      <c r="J88" s="514">
        <f>((((J79)*'MPs PS'!$E$50*'MPs PS'!$H$50+(J80)*'MPs PS'!$O$50*'MPs PS'!$R$50/1000000)/2000))</f>
        <v>1.0942591527000003</v>
      </c>
      <c r="K88" s="514">
        <f>((((K79)*'MPs PS'!$E$50*'MPs PS'!$H$50+(K80)*'MPs PS'!$O$50*'MPs PS'!$R$50/1000000)/2000))</f>
        <v>0.44340029280000004</v>
      </c>
      <c r="L88" s="514">
        <f>((((L79)*'MPs PS'!$E$50*'MPs PS'!$H$50+(L80)*'MPs PS'!$O$50*'MPs PS'!$R$50/1000000)/2000))</f>
        <v>1.4578706952</v>
      </c>
      <c r="M88" s="514">
        <f>((((M79)*'MPs PS'!$E$50*'MPs PS'!$H$50+(M80)*'MPs PS'!$O$50*'MPs PS'!$R$50/1000000)/2000))</f>
        <v>1.1279560410000002</v>
      </c>
      <c r="N88" s="514">
        <f>((((N79)*'MPs PS'!$E$50*'MPs PS'!$H$50+(N80)*'MPs PS'!$O$50*'MPs PS'!$R$50/1000000)/2000))</f>
        <v>0.74225728800000002</v>
      </c>
      <c r="O88" s="532">
        <f t="shared" si="15"/>
        <v>14.653089007200004</v>
      </c>
    </row>
    <row r="89" spans="1:15" ht="21.75" customHeight="1" x14ac:dyDescent="0.2">
      <c r="A89" s="513" t="s">
        <v>42</v>
      </c>
      <c r="B89" s="513" t="s">
        <v>96</v>
      </c>
      <c r="C89" s="514">
        <f>((((C79)*'MPs PS'!$E$62*'MPs PS'!$H$62+(C80)*'MPs PS'!$O$62*'MPs PS'!$R$62/1000000)/2000))</f>
        <v>8.746784353125002E-3</v>
      </c>
      <c r="D89" s="514">
        <f>((((D79)*'MPs PS'!$E$62*'MPs PS'!$H$62+(D80)*'MPs PS'!$O$62*'MPs PS'!$R$62/1000000)/2000))</f>
        <v>9.3510377296875009E-3</v>
      </c>
      <c r="E89" s="514">
        <f>((((E79)*'MPs PS'!$E$62*'MPs PS'!$H$62+(E80)*'MPs PS'!$O$62*'MPs PS'!$R$62/1000000)/2000))</f>
        <v>2.9235533414062504E-2</v>
      </c>
      <c r="F89" s="514">
        <f>((((F79)*'MPs PS'!$E$62*'MPs PS'!$H$62+(F80)*'MPs PS'!$O$62*'MPs PS'!$R$62/1000000)/2000))</f>
        <v>4.2965541970312507E-2</v>
      </c>
      <c r="G89" s="514">
        <f>((((G79)*'MPs PS'!$E$62*'MPs PS'!$H$62+(G80)*'MPs PS'!$O$62*'MPs PS'!$R$62/1000000)/2000))</f>
        <v>1.0691086514062503E-2</v>
      </c>
      <c r="H89" s="514">
        <f>((((H79)*'MPs PS'!$E$62*'MPs PS'!$H$62+(H80)*'MPs PS'!$O$62*'MPs PS'!$R$62/1000000)/2000))</f>
        <v>1.2407852657812503E-2</v>
      </c>
      <c r="I89" s="514">
        <f>((((I79)*'MPs PS'!$E$62*'MPs PS'!$H$62+(I80)*'MPs PS'!$O$62*'MPs PS'!$R$62/1000000)/2000))</f>
        <v>1.3609560431250001E-2</v>
      </c>
      <c r="J89" s="514">
        <f>((((J79)*'MPs PS'!$E$62*'MPs PS'!$H$62+(J80)*'MPs PS'!$O$62*'MPs PS'!$R$62/1000000)/2000))</f>
        <v>1.4199867182812503E-2</v>
      </c>
      <c r="K89" s="514">
        <f>((((K79)*'MPs PS'!$E$62*'MPs PS'!$H$62+(K80)*'MPs PS'!$O$62*'MPs PS'!$R$62/1000000)/2000))</f>
        <v>5.7538703250000012E-3</v>
      </c>
      <c r="L89" s="514">
        <f>((((L79)*'MPs PS'!$E$62*'MPs PS'!$H$62+(L80)*'MPs PS'!$O$62*'MPs PS'!$R$62/1000000)/2000))</f>
        <v>1.8918343237499999E-2</v>
      </c>
      <c r="M89" s="514">
        <f>((((M79)*'MPs PS'!$E$62*'MPs PS'!$H$62+(M80)*'MPs PS'!$O$62*'MPs PS'!$R$62/1000000)/2000))</f>
        <v>1.4637141421875003E-2</v>
      </c>
      <c r="N89" s="514">
        <f>((((N79)*'MPs PS'!$E$62*'MPs PS'!$H$62+(N80)*'MPs PS'!$O$62*'MPs PS'!$R$62/1000000)/2000))</f>
        <v>9.6320463750000015E-3</v>
      </c>
      <c r="O89" s="532">
        <f t="shared" si="15"/>
        <v>0.19014866561250002</v>
      </c>
    </row>
    <row r="90" spans="1:15" ht="31.5" customHeight="1" x14ac:dyDescent="0.2">
      <c r="A90" s="609" t="s">
        <v>44</v>
      </c>
      <c r="B90" s="609"/>
      <c r="C90" s="525"/>
      <c r="D90" s="525"/>
      <c r="E90" s="525"/>
      <c r="F90" s="525"/>
      <c r="G90" s="525"/>
      <c r="H90" s="525"/>
      <c r="I90" s="525"/>
      <c r="J90" s="525"/>
      <c r="K90" s="525"/>
      <c r="L90" s="525"/>
      <c r="M90" s="525"/>
      <c r="N90" s="525"/>
      <c r="O90" s="525"/>
    </row>
    <row r="91" spans="1:15" ht="21.75" hidden="1" customHeight="1" x14ac:dyDescent="0.2">
      <c r="A91" s="513" t="s">
        <v>405</v>
      </c>
      <c r="B91" s="513" t="s">
        <v>94</v>
      </c>
      <c r="C91" s="526">
        <f>Turbinas!$I$24*42</f>
        <v>1870966.02</v>
      </c>
      <c r="D91" s="526">
        <f>Turbinas!$I$25*42</f>
        <v>1387764</v>
      </c>
      <c r="E91" s="526">
        <f>Turbinas!$I$26*42</f>
        <v>2199334.1999999997</v>
      </c>
      <c r="F91" s="526">
        <f>Turbinas!$I$27*42</f>
        <v>2413657.2599999998</v>
      </c>
      <c r="G91" s="526">
        <f>Turbinas!$I$28*42</f>
        <v>1169058.24</v>
      </c>
      <c r="H91" s="526">
        <f>Turbinas!$I$29*42</f>
        <v>1816398.7799999998</v>
      </c>
      <c r="I91" s="526">
        <f>Turbinas!$I$30*42</f>
        <v>1925550.9</v>
      </c>
      <c r="J91" s="526">
        <f>Turbinas!$I$31*42</f>
        <v>2106781.7400000002</v>
      </c>
      <c r="K91" s="526">
        <f>Turbinas!$I$32*42</f>
        <v>1181405.4000000001</v>
      </c>
      <c r="L91" s="526">
        <f>Turbinas!$I$33*42</f>
        <v>2423802.36</v>
      </c>
      <c r="M91" s="526">
        <f>Turbinas!$I$34*42</f>
        <v>1069763.0999999999</v>
      </c>
      <c r="N91" s="526">
        <f>Turbinas!$I$35*42</f>
        <v>431034.66</v>
      </c>
      <c r="O91" s="527">
        <f t="shared" ref="O91:O105" si="16">SUM(C91:N91)</f>
        <v>19995516.66</v>
      </c>
    </row>
    <row r="92" spans="1:15" ht="21.75" hidden="1" customHeight="1" x14ac:dyDescent="0.2">
      <c r="A92" s="513" t="s">
        <v>406</v>
      </c>
      <c r="B92" s="513" t="s">
        <v>407</v>
      </c>
      <c r="C92" s="528">
        <f>'Cálculos Cambalache (60%)'!$AC$22</f>
        <v>93</v>
      </c>
      <c r="D92" s="528">
        <f>'Cálculos Cambalache (60%)'!$AC$23</f>
        <v>33</v>
      </c>
      <c r="E92" s="528">
        <f>'Cálculos Cambalache (60%)'!$AC$24</f>
        <v>62</v>
      </c>
      <c r="F92" s="528">
        <f>'Cálculos Cambalache (60%)'!$AC$25</f>
        <v>141</v>
      </c>
      <c r="G92" s="528">
        <f>'Cálculos Cambalache (60%)'!$AC$26</f>
        <v>37</v>
      </c>
      <c r="H92" s="528">
        <f>'Cálculos Cambalache (60%)'!$AC$27</f>
        <v>129</v>
      </c>
      <c r="I92" s="528">
        <f>'Cálculos Cambalache (60%)'!$AC$28</f>
        <v>133</v>
      </c>
      <c r="J92" s="528">
        <f>'Cálculos Cambalache (60%)'!$AC$29</f>
        <v>123</v>
      </c>
      <c r="K92" s="528">
        <f>'Cálculos Cambalache (60%)'!$AC$30</f>
        <v>57</v>
      </c>
      <c r="L92" s="528">
        <f>'Cálculos Cambalache (60%)'!$AC$31</f>
        <v>147</v>
      </c>
      <c r="M92" s="528">
        <f>'Cálculos Cambalache (60%)'!$AC$32</f>
        <v>49</v>
      </c>
      <c r="N92" s="528">
        <f>'Cálculos Cambalache (60%)'!$AC$33</f>
        <v>30</v>
      </c>
      <c r="O92" s="529">
        <f t="shared" si="16"/>
        <v>1034</v>
      </c>
    </row>
    <row r="93" spans="1:15" ht="21.75" hidden="1" customHeight="1" x14ac:dyDescent="0.2">
      <c r="A93" s="513" t="s">
        <v>408</v>
      </c>
      <c r="B93" s="513" t="s">
        <v>407</v>
      </c>
      <c r="C93" s="528">
        <f>'Cálculos Cambalache (60%)'!$AC$4</f>
        <v>234</v>
      </c>
      <c r="D93" s="528">
        <f>'Cálculos Cambalache (60%)'!$AC$5</f>
        <v>235</v>
      </c>
      <c r="E93" s="528">
        <f>'Cálculos Cambalache (60%)'!$AC$6</f>
        <v>351</v>
      </c>
      <c r="F93" s="528">
        <f>'Cálculos Cambalache (60%)'!$AC$7</f>
        <v>288</v>
      </c>
      <c r="G93" s="528">
        <f>'Cálculos Cambalache (60%)'!$AC$8</f>
        <v>154</v>
      </c>
      <c r="H93" s="528">
        <f>'Cálculos Cambalache (60%)'!$AC$9</f>
        <v>178</v>
      </c>
      <c r="I93" s="528">
        <f>'Cálculos Cambalache (60%)'!$AC$10</f>
        <v>201</v>
      </c>
      <c r="J93" s="528">
        <f>'Cálculos Cambalache (60%)'!$AC$11</f>
        <v>258</v>
      </c>
      <c r="K93" s="528">
        <f>'Cálculos Cambalache (60%)'!$AC$12</f>
        <v>151</v>
      </c>
      <c r="L93" s="528">
        <f>'Cálculos Cambalache (60%)'!$AC$13</f>
        <v>300</v>
      </c>
      <c r="M93" s="528">
        <f>'Cálculos Cambalache (60%)'!$AC$14</f>
        <v>89</v>
      </c>
      <c r="N93" s="528">
        <f>'Cálculos Cambalache (60%)'!$AC$15</f>
        <v>29</v>
      </c>
      <c r="O93" s="529">
        <f t="shared" si="16"/>
        <v>2468</v>
      </c>
    </row>
    <row r="94" spans="1:15" ht="21.75" hidden="1" customHeight="1" x14ac:dyDescent="0.2">
      <c r="A94" s="513" t="s">
        <v>409</v>
      </c>
      <c r="B94" s="513" t="s">
        <v>94</v>
      </c>
      <c r="C94" s="526">
        <f>Turbinas!$J$24*42</f>
        <v>1441639.5</v>
      </c>
      <c r="D94" s="526">
        <f>Turbinas!$J$25*42</f>
        <v>1335355.98</v>
      </c>
      <c r="E94" s="526">
        <f>Turbinas!$J$26*42</f>
        <v>2022322.68</v>
      </c>
      <c r="F94" s="526">
        <f>Turbinas!$J$27*42</f>
        <v>2333609.88</v>
      </c>
      <c r="G94" s="526">
        <f>Turbinas!$J$28*42</f>
        <v>778330.1399999999</v>
      </c>
      <c r="H94" s="526">
        <f>Turbinas!$J$29*42</f>
        <v>0</v>
      </c>
      <c r="I94" s="526">
        <f>Turbinas!$J$30*42</f>
        <v>0</v>
      </c>
      <c r="J94" s="526">
        <f>Turbinas!$J$31*42</f>
        <v>0</v>
      </c>
      <c r="K94" s="526">
        <f>Turbinas!$J$32*42</f>
        <v>0</v>
      </c>
      <c r="L94" s="526">
        <f>Turbinas!$J$33*42</f>
        <v>0</v>
      </c>
      <c r="M94" s="526">
        <f>Turbinas!$J$34*42</f>
        <v>0</v>
      </c>
      <c r="N94" s="526">
        <f>Turbinas!$J$35*42</f>
        <v>0</v>
      </c>
      <c r="O94" s="527">
        <f t="shared" si="16"/>
        <v>7911258.1799999997</v>
      </c>
    </row>
    <row r="95" spans="1:15" ht="21.75" hidden="1" customHeight="1" x14ac:dyDescent="0.2">
      <c r="A95" s="513" t="s">
        <v>410</v>
      </c>
      <c r="B95" s="513" t="s">
        <v>407</v>
      </c>
      <c r="C95" s="528">
        <f>'Cálculos Cambalache (60%)'!$AD$22</f>
        <v>63</v>
      </c>
      <c r="D95" s="528">
        <f>'Cálculos Cambalache (60%)'!$AD$23</f>
        <v>43</v>
      </c>
      <c r="E95" s="528">
        <f>'Cálculos Cambalache (60%)'!$AD$24</f>
        <v>95</v>
      </c>
      <c r="F95" s="528">
        <f>'Cálculos Cambalache (60%)'!$AD$25</f>
        <v>158</v>
      </c>
      <c r="G95" s="528">
        <f>'Cálculos Cambalache (60%)'!$AD$26</f>
        <v>23</v>
      </c>
      <c r="H95" s="528">
        <f>'Cálculos Cambalache (60%)'!$AD$27</f>
        <v>0</v>
      </c>
      <c r="I95" s="528">
        <f>'Cálculos Cambalache (60%)'!$AD$28</f>
        <v>0</v>
      </c>
      <c r="J95" s="528">
        <f>'Cálculos Cambalache (60%)'!$AD$29</f>
        <v>0</v>
      </c>
      <c r="K95" s="528">
        <f>'Cálculos Cambalache (60%)'!$AD$30</f>
        <v>0</v>
      </c>
      <c r="L95" s="528">
        <f>'Cálculos Cambalache (60%)'!$AD$31</f>
        <v>0</v>
      </c>
      <c r="M95" s="528">
        <f>'Cálculos Cambalache (60%)'!$AD$32</f>
        <v>0</v>
      </c>
      <c r="N95" s="528">
        <f>'Cálculos Cambalache (60%)'!$AD$33</f>
        <v>0</v>
      </c>
      <c r="O95" s="529">
        <f t="shared" si="16"/>
        <v>382</v>
      </c>
    </row>
    <row r="96" spans="1:15" ht="21.75" hidden="1" customHeight="1" x14ac:dyDescent="0.2">
      <c r="A96" s="513" t="s">
        <v>411</v>
      </c>
      <c r="B96" s="513" t="s">
        <v>407</v>
      </c>
      <c r="C96" s="528">
        <f>'Cálculos Cambalache (60%)'!$AD$4</f>
        <v>180</v>
      </c>
      <c r="D96" s="528">
        <f>'Cálculos Cambalache (60%)'!$AD$5</f>
        <v>205</v>
      </c>
      <c r="E96" s="528">
        <f>'Cálculos Cambalache (60%)'!$AD$6</f>
        <v>266</v>
      </c>
      <c r="F96" s="528">
        <f>'Cálculos Cambalache (60%)'!$AD$7</f>
        <v>260</v>
      </c>
      <c r="G96" s="528">
        <f>'Cálculos Cambalache (60%)'!$AD$8</f>
        <v>121</v>
      </c>
      <c r="H96" s="528">
        <f>'Cálculos Cambalache (60%)'!$AD$9</f>
        <v>0</v>
      </c>
      <c r="I96" s="528">
        <f>'Cálculos Cambalache (60%)'!$AD$10</f>
        <v>0</v>
      </c>
      <c r="J96" s="528">
        <f>'Cálculos Cambalache (60%)'!$AD$11</f>
        <v>0</v>
      </c>
      <c r="K96" s="528">
        <f>'Cálculos Cambalache (60%)'!$AD$12</f>
        <v>0</v>
      </c>
      <c r="L96" s="528">
        <f>'Cálculos Cambalache (60%)'!$AD$13</f>
        <v>0</v>
      </c>
      <c r="M96" s="528">
        <f>'Cálculos Cambalache (60%)'!$AD$14</f>
        <v>0</v>
      </c>
      <c r="N96" s="528">
        <f>'Cálculos Cambalache (60%)'!$AD$15</f>
        <v>0</v>
      </c>
      <c r="O96" s="529">
        <f t="shared" si="16"/>
        <v>1032</v>
      </c>
    </row>
    <row r="97" spans="1:15" ht="21.75" hidden="1" customHeight="1" x14ac:dyDescent="0.2">
      <c r="A97" s="513" t="s">
        <v>412</v>
      </c>
      <c r="B97" s="513" t="s">
        <v>93</v>
      </c>
      <c r="C97" s="514">
        <f>'CEMS Cambalache'!$C$6</f>
        <v>51997.399999999994</v>
      </c>
      <c r="D97" s="514">
        <f>'CEMS Cambalache'!$C$7</f>
        <v>50532</v>
      </c>
      <c r="E97" s="514">
        <f>'CEMS Cambalache'!$C$8</f>
        <v>76822.799999999988</v>
      </c>
      <c r="F97" s="514">
        <f>'CEMS Cambalache'!$C$9</f>
        <v>82626.8</v>
      </c>
      <c r="G97" s="514">
        <f>'CEMS Cambalache'!$C$10</f>
        <v>35985.800000000003</v>
      </c>
      <c r="H97" s="514">
        <f>'CEMS Cambalache'!$C$11</f>
        <v>31849.3</v>
      </c>
      <c r="I97" s="514">
        <f>'CEMS Cambalache'!$C$12</f>
        <v>31689.5</v>
      </c>
      <c r="J97" s="514">
        <f>'CEMS Cambalache'!$C$13</f>
        <v>34138.300000000003</v>
      </c>
      <c r="K97" s="514">
        <f>'CEMS Cambalache'!$C$14</f>
        <v>21011</v>
      </c>
      <c r="L97" s="514">
        <f>'CEMS Cambalache'!$C$15</f>
        <v>39016</v>
      </c>
      <c r="M97" s="514">
        <f>'CEMS Cambalache'!$C$16</f>
        <v>20626.5</v>
      </c>
      <c r="N97" s="514">
        <f>'CEMS Cambalache'!$C$17</f>
        <v>10624.3</v>
      </c>
      <c r="O97" s="532">
        <f t="shared" si="16"/>
        <v>486919.69999999995</v>
      </c>
    </row>
    <row r="98" spans="1:15" ht="21.75" hidden="1" customHeight="1" x14ac:dyDescent="0.2">
      <c r="A98" s="513" t="s">
        <v>413</v>
      </c>
      <c r="B98" s="513" t="s">
        <v>93</v>
      </c>
      <c r="C98" s="514">
        <f>'CEMS Cambalache'!$D$6</f>
        <v>9599</v>
      </c>
      <c r="D98" s="514">
        <f>'CEMS Cambalache'!$D$7</f>
        <v>6409</v>
      </c>
      <c r="E98" s="514">
        <f>'CEMS Cambalache'!$D$8</f>
        <v>10507</v>
      </c>
      <c r="F98" s="514">
        <f>'CEMS Cambalache'!$D$9</f>
        <v>9289</v>
      </c>
      <c r="G98" s="514">
        <f>'CEMS Cambalache'!$D$10</f>
        <v>6406</v>
      </c>
      <c r="H98" s="514">
        <f>'CEMS Cambalache'!$D$11</f>
        <v>4059</v>
      </c>
      <c r="I98" s="514">
        <f>'CEMS Cambalache'!$D$12</f>
        <v>3845</v>
      </c>
      <c r="J98" s="514">
        <f>'CEMS Cambalache'!$D$13</f>
        <v>3366</v>
      </c>
      <c r="K98" s="514">
        <f>'CEMS Cambalache'!$D$14</f>
        <v>3240</v>
      </c>
      <c r="L98" s="514">
        <f>'CEMS Cambalache'!$D$15</f>
        <v>3108</v>
      </c>
      <c r="M98" s="514">
        <f>'CEMS Cambalache'!$D$16</f>
        <v>3460</v>
      </c>
      <c r="N98" s="514">
        <f>'CEMS Cambalache'!$D$17</f>
        <v>2285</v>
      </c>
      <c r="O98" s="532">
        <f t="shared" si="16"/>
        <v>65573</v>
      </c>
    </row>
    <row r="99" spans="1:15" ht="21.75" customHeight="1" x14ac:dyDescent="0.2">
      <c r="A99" s="513" t="s">
        <v>18</v>
      </c>
      <c r="B99" s="513" t="s">
        <v>96</v>
      </c>
      <c r="C99" s="514">
        <f>((('Cálculos Cambalache (60%)'!$B$21*(C92))+('Cálculos Cambalache (60%)'!$F$21*(C93)))/'Cálculos Cambalache (60%)'!$J$22)+((('Cálculos Cambalache (60%)'!$M$21*(C95))+('Cálculos Cambalache (60%)'!$Q$21*(C96)))/'Cálculos Cambalache (60%)'!$U$22)</f>
        <v>14.535</v>
      </c>
      <c r="D99" s="514">
        <f>((('Cálculos Cambalache (60%)'!$B$21*(D92))+('Cálculos Cambalache (60%)'!$F$21*(D93)))/'Cálculos Cambalache (60%)'!$J$22)+((('Cálculos Cambalache (60%)'!$M$21*(D95))+('Cálculos Cambalache (60%)'!$Q$21*(D96)))/'Cálculos Cambalache (60%)'!$U$22)</f>
        <v>13.157999999999999</v>
      </c>
      <c r="E99" s="514">
        <f>((('Cálculos Cambalache (60%)'!$B$21*(E92))+('Cálculos Cambalache (60%)'!$F$21*(E93)))/'Cálculos Cambalache (60%)'!$J$22)+((('Cálculos Cambalache (60%)'!$M$21*(E95))+('Cálculos Cambalache (60%)'!$Q$21*(E96)))/'Cálculos Cambalache (60%)'!$U$22)</f>
        <v>19.737000000000002</v>
      </c>
      <c r="F99" s="514">
        <f>((('Cálculos Cambalache (60%)'!$B$21*(F92))+('Cálculos Cambalache (60%)'!$F$21*(F93)))/'Cálculos Cambalache (60%)'!$J$22)+((('Cálculos Cambalache (60%)'!$M$21*(F95))+('Cálculos Cambalache (60%)'!$Q$21*(F96)))/'Cálculos Cambalache (60%)'!$U$22)</f>
        <v>21.598500000000001</v>
      </c>
      <c r="G99" s="514">
        <f>((('Cálculos Cambalache (60%)'!$B$21*(G92))+('Cálculos Cambalache (60%)'!$F$21*(G93)))/'Cálculos Cambalache (60%)'!$J$22)+((('Cálculos Cambalache (60%)'!$M$21*(G95))+('Cálculos Cambalache (60%)'!$Q$21*(G96)))/'Cálculos Cambalache (60%)'!$U$22)</f>
        <v>8.5425000000000004</v>
      </c>
      <c r="H99" s="514">
        <f>((('Cálculos Cambalache (60%)'!$B$21*(H92))+('Cálculos Cambalache (60%)'!$F$21*(H93)))/'Cálculos Cambalache (60%)'!$J$22)+((('Cálculos Cambalache (60%)'!$M$21*(H95))+('Cálculos Cambalache (60%)'!$Q$21*(H96)))/'Cálculos Cambalache (60%)'!$U$22)</f>
        <v>7.8285</v>
      </c>
      <c r="I99" s="514">
        <f>((('Cálculos Cambalache (60%)'!$B$21*(I92))+('Cálculos Cambalache (60%)'!$F$21*(I93)))/'Cálculos Cambalache (60%)'!$J$22)+((('Cálculos Cambalache (60%)'!$M$21*(I95))+('Cálculos Cambalache (60%)'!$Q$21*(I96)))/'Cálculos Cambalache (60%)'!$U$22)</f>
        <v>8.5169999999999995</v>
      </c>
      <c r="J99" s="514">
        <f>((('Cálculos Cambalache (60%)'!$B$21*(J92))+('Cálculos Cambalache (60%)'!$F$21*(J93)))/'Cálculos Cambalache (60%)'!$J$22)+((('Cálculos Cambalache (60%)'!$M$21*(J95))+('Cálculos Cambalache (60%)'!$Q$21*(J96)))/'Cálculos Cambalache (60%)'!$U$22)</f>
        <v>9.7155000000000005</v>
      </c>
      <c r="K99" s="514">
        <f>((('Cálculos Cambalache (60%)'!$B$21*(K92))+('Cálculos Cambalache (60%)'!$F$21*(K93)))/'Cálculos Cambalache (60%)'!$J$22)+((('Cálculos Cambalache (60%)'!$M$21*(K95))+('Cálculos Cambalache (60%)'!$Q$21*(K96)))/'Cálculos Cambalache (60%)'!$U$22)</f>
        <v>5.3040000000000003</v>
      </c>
      <c r="L99" s="514">
        <f>((('Cálculos Cambalache (60%)'!$B$21*(L92))+('Cálculos Cambalache (60%)'!$F$21*(L93)))/'Cálculos Cambalache (60%)'!$J$22)+((('Cálculos Cambalache (60%)'!$M$21*(L95))+('Cálculos Cambalache (60%)'!$Q$21*(L96)))/'Cálculos Cambalache (60%)'!$U$22)</f>
        <v>11.3985</v>
      </c>
      <c r="M99" s="514">
        <f>((('Cálculos Cambalache (60%)'!$B$21*(M92))+('Cálculos Cambalache (60%)'!$F$21*(M93)))/'Cálculos Cambalache (60%)'!$J$22)+((('Cálculos Cambalache (60%)'!$M$21*(M95))+('Cálculos Cambalache (60%)'!$Q$21*(M96)))/'Cálculos Cambalache (60%)'!$U$22)</f>
        <v>3.5190000000000001</v>
      </c>
      <c r="N99" s="514">
        <f>((('Cálculos Cambalache (60%)'!$B$21*(N92))+('Cálculos Cambalache (60%)'!$F$21*(N93)))/'Cálculos Cambalache (60%)'!$J$22)+((('Cálculos Cambalache (60%)'!$M$21*(N95))+('Cálculos Cambalache (60%)'!$Q$21*(N96)))/'Cálculos Cambalache (60%)'!$U$22)</f>
        <v>1.5044999999999999</v>
      </c>
      <c r="O99" s="532">
        <f t="shared" si="16"/>
        <v>125.35800000000002</v>
      </c>
    </row>
    <row r="100" spans="1:15" ht="21.75" customHeight="1" x14ac:dyDescent="0.2">
      <c r="A100" s="513" t="s">
        <v>377</v>
      </c>
      <c r="B100" s="513" t="s">
        <v>96</v>
      </c>
      <c r="C100" s="514">
        <f>((('Cálculos Cambalache (60%)'!$B$29*(C92))+('Cálculos Cambalache (60%)'!$F$29*(C93)))/'Cálculos Cambalache (60%)'!$J$30)+((('Cálculos Cambalache (60%)'!$M$29*(C95))+('Cálculos Cambalache (60%)'!$Q$29*(C96)))/'Cálculos Cambalache (60%)'!$U$30)</f>
        <v>39.045000000000002</v>
      </c>
      <c r="D100" s="514">
        <f>((('Cálculos Cambalache (60%)'!$B$29*(D92))+('Cálculos Cambalache (60%)'!$F$29*(D93)))/'Cálculos Cambalache (60%)'!$J$30)+((('Cálculos Cambalache (60%)'!$M$29*(D95))+('Cálculos Cambalache (60%)'!$Q$29*(D96)))/'Cálculos Cambalache (60%)'!$U$30)</f>
        <v>35.346000000000004</v>
      </c>
      <c r="E100" s="514">
        <f>((('Cálculos Cambalache (60%)'!$B$29*(E92))+('Cálculos Cambalache (60%)'!$F$29*(E93)))/'Cálculos Cambalache (60%)'!$J$30)+((('Cálculos Cambalache (60%)'!$M$29*(E95))+('Cálculos Cambalache (60%)'!$Q$29*(E96)))/'Cálculos Cambalache (60%)'!$U$30)</f>
        <v>53.019000000000005</v>
      </c>
      <c r="F100" s="514">
        <f>((('Cálculos Cambalache (60%)'!$B$29*(F92))+('Cálculos Cambalache (60%)'!$F$29*(F93)))/'Cálculos Cambalache (60%)'!$J$30)+((('Cálculos Cambalache (60%)'!$M$29*(F95))+('Cálculos Cambalache (60%)'!$Q$29*(F96)))/'Cálculos Cambalache (60%)'!$U$30)</f>
        <v>58.019500000000001</v>
      </c>
      <c r="G100" s="514">
        <f>((('Cálculos Cambalache (60%)'!$B$29*(G92))+('Cálculos Cambalache (60%)'!$F$29*(G93)))/'Cálculos Cambalache (60%)'!$J$30)+((('Cálculos Cambalache (60%)'!$M$29*(G95))+('Cálculos Cambalache (60%)'!$Q$29*(G96)))/'Cálculos Cambalache (60%)'!$U$30)</f>
        <v>22.947500000000002</v>
      </c>
      <c r="H100" s="514">
        <f>((('Cálculos Cambalache (60%)'!$B$29*(H92))+('Cálculos Cambalache (60%)'!$F$29*(H93)))/'Cálculos Cambalache (60%)'!$J$30)+((('Cálculos Cambalache (60%)'!$M$29*(H95))+('Cálculos Cambalache (60%)'!$Q$29*(H96)))/'Cálculos Cambalache (60%)'!$U$30)</f>
        <v>21.029499999999999</v>
      </c>
      <c r="I100" s="514">
        <f>((('Cálculos Cambalache (60%)'!$B$29*(I92))+('Cálculos Cambalache (60%)'!$F$29*(I93)))/'Cálculos Cambalache (60%)'!$J$30)+((('Cálculos Cambalache (60%)'!$M$29*(I95))+('Cálculos Cambalache (60%)'!$Q$29*(I96)))/'Cálculos Cambalache (60%)'!$U$30)</f>
        <v>22.879000000000001</v>
      </c>
      <c r="J100" s="514">
        <f>((('Cálculos Cambalache (60%)'!$B$29*(J92))+('Cálculos Cambalache (60%)'!$F$29*(J93)))/'Cálculos Cambalache (60%)'!$J$30)+((('Cálculos Cambalache (60%)'!$M$29*(J95))+('Cálculos Cambalache (60%)'!$Q$29*(J96)))/'Cálculos Cambalache (60%)'!$U$30)</f>
        <v>26.098500000000001</v>
      </c>
      <c r="K100" s="514">
        <f>((('Cálculos Cambalache (60%)'!$B$29*(K92))+('Cálculos Cambalache (60%)'!$F$29*(K93)))/'Cálculos Cambalache (60%)'!$J$30)+((('Cálculos Cambalache (60%)'!$M$29*(K95))+('Cálculos Cambalache (60%)'!$Q$29*(K96)))/'Cálculos Cambalache (60%)'!$U$30)</f>
        <v>14.247999999999999</v>
      </c>
      <c r="L100" s="514">
        <f>((('Cálculos Cambalache (60%)'!$B$29*(L92))+('Cálculos Cambalache (60%)'!$F$29*(L93)))/'Cálculos Cambalache (60%)'!$J$30)+((('Cálculos Cambalache (60%)'!$M$29*(L95))+('Cálculos Cambalache (60%)'!$Q$29*(L96)))/'Cálculos Cambalache (60%)'!$U$30)</f>
        <v>30.619499999999999</v>
      </c>
      <c r="M100" s="514">
        <f>((('Cálculos Cambalache (60%)'!$B$29*(M92))+('Cálculos Cambalache (60%)'!$F$29*(M93)))/'Cálculos Cambalache (60%)'!$J$30)+((('Cálculos Cambalache (60%)'!$M$29*(M95))+('Cálculos Cambalache (60%)'!$Q$29*(M96)))/'Cálculos Cambalache (60%)'!$U$30)</f>
        <v>9.4529999999999994</v>
      </c>
      <c r="N100" s="514">
        <f>((('Cálculos Cambalache (60%)'!$B$29*(N92))+('Cálculos Cambalache (60%)'!$F$29*(N93)))/'Cálculos Cambalache (60%)'!$J$30)+((('Cálculos Cambalache (60%)'!$M$29*(N95))+('Cálculos Cambalache (60%)'!$Q$29*(N96)))/'Cálculos Cambalache (60%)'!$U$30)</f>
        <v>4.0415000000000001</v>
      </c>
      <c r="O100" s="532">
        <f t="shared" si="16"/>
        <v>336.74599999999998</v>
      </c>
    </row>
    <row r="101" spans="1:15" ht="21.75" customHeight="1" x14ac:dyDescent="0.2">
      <c r="A101" s="513" t="s">
        <v>22</v>
      </c>
      <c r="B101" s="513" t="s">
        <v>96</v>
      </c>
      <c r="C101" s="514">
        <f>((('Cálculos Cambalache (60%)'!$B$42*(C92))+('Cálculos Cambalache (60%)'!$F$42*(C93)))/'Cálculos Cambalache (60%)'!$J$43)+((('Cálculos Cambalache (60%)'!$M$42*(C95))+('Cálculos Cambalache (60%)'!$Q$42*(C96)))/'Cálculos Cambalache (60%)'!$U$43)</f>
        <v>3.2909999999999999</v>
      </c>
      <c r="D101" s="514">
        <f>((('Cálculos Cambalache (60%)'!$B$42*(D92))+('Cálculos Cambalache (60%)'!$F$42*(D93)))/'Cálculos Cambalache (60%)'!$J$43)+((('Cálculos Cambalache (60%)'!$M$42*(D95))+('Cálculos Cambalache (60%)'!$Q$42*(D96)))/'Cálculos Cambalache (60%)'!$U$43)</f>
        <v>2.9139999999999997</v>
      </c>
      <c r="E101" s="514">
        <f>((('Cálculos Cambalache (60%)'!$B$42*(E92))+('Cálculos Cambalache (60%)'!$F$42*(E93)))/'Cálculos Cambalache (60%)'!$J$43)+((('Cálculos Cambalache (60%)'!$M$42*(E95))+('Cálculos Cambalache (60%)'!$Q$42*(E96)))/'Cálculos Cambalache (60%)'!$U$43)</f>
        <v>4.4139999999999997</v>
      </c>
      <c r="F101" s="514">
        <f>((('Cálculos Cambalache (60%)'!$B$42*(F92))+('Cálculos Cambalache (60%)'!$F$42*(F93)))/'Cálculos Cambalache (60%)'!$J$43)+((('Cálculos Cambalache (60%)'!$M$42*(F95))+('Cálculos Cambalache (60%)'!$Q$42*(F96)))/'Cálculos Cambalache (60%)'!$U$43)</f>
        <v>4.9574999999999996</v>
      </c>
      <c r="G101" s="514">
        <f>((('Cálculos Cambalache (60%)'!$B$42*(G92))+('Cálculos Cambalache (60%)'!$F$42*(G93)))/'Cálculos Cambalache (60%)'!$J$43)+((('Cálculos Cambalache (60%)'!$M$42*(G95))+('Cálculos Cambalache (60%)'!$Q$42*(G96)))/'Cálculos Cambalache (60%)'!$U$43)</f>
        <v>1.9024999999999999</v>
      </c>
      <c r="H101" s="514">
        <f>((('Cálculos Cambalache (60%)'!$B$42*(H92))+('Cálculos Cambalache (60%)'!$F$42*(H93)))/'Cálculos Cambalache (60%)'!$J$43)+((('Cálculos Cambalache (60%)'!$M$42*(H95))+('Cálculos Cambalache (60%)'!$Q$42*(H96)))/'Cálculos Cambalache (60%)'!$U$43)</f>
        <v>1.8174999999999999</v>
      </c>
      <c r="I101" s="514">
        <f>((('Cálculos Cambalache (60%)'!$B$42*(I92))+('Cálculos Cambalache (60%)'!$F$42*(I93)))/'Cálculos Cambalache (60%)'!$J$43)+((('Cálculos Cambalache (60%)'!$M$42*(I95))+('Cálculos Cambalache (60%)'!$Q$42*(I96)))/'Cálculos Cambalache (60%)'!$U$43)</f>
        <v>1.97</v>
      </c>
      <c r="J101" s="514">
        <f>((('Cálculos Cambalache (60%)'!$B$42*(J92))+('Cálculos Cambalache (60%)'!$F$42*(J93)))/'Cálculos Cambalache (60%)'!$J$43)+((('Cálculos Cambalache (60%)'!$M$42*(J95))+('Cálculos Cambalache (60%)'!$Q$42*(J96)))/'Cálculos Cambalache (60%)'!$U$43)</f>
        <v>2.2185000000000001</v>
      </c>
      <c r="K101" s="514">
        <f>((('Cálculos Cambalache (60%)'!$B$42*(K92))+('Cálculos Cambalache (60%)'!$F$42*(K93)))/'Cálculos Cambalache (60%)'!$J$43)+((('Cálculos Cambalache (60%)'!$M$42*(K95))+('Cálculos Cambalache (60%)'!$Q$42*(K96)))/'Cálculos Cambalache (60%)'!$U$43)</f>
        <v>1.2010000000000001</v>
      </c>
      <c r="L101" s="514">
        <f>((('Cálculos Cambalache (60%)'!$B$42*(L92))+('Cálculos Cambalache (60%)'!$F$42*(L93)))/'Cálculos Cambalache (60%)'!$J$43)+((('Cálculos Cambalache (60%)'!$M$42*(L95))+('Cálculos Cambalache (60%)'!$Q$42*(L96)))/'Cálculos Cambalache (60%)'!$U$43)</f>
        <v>2.6055000000000001</v>
      </c>
      <c r="M101" s="514">
        <f>((('Cálculos Cambalache (60%)'!$B$42*(M92))+('Cálculos Cambalache (60%)'!$F$42*(M93)))/'Cálculos Cambalache (60%)'!$J$43)+((('Cálculos Cambalache (60%)'!$M$42*(M95))+('Cálculos Cambalache (60%)'!$Q$42*(M96)))/'Cálculos Cambalache (60%)'!$U$43)</f>
        <v>0.80800000000000005</v>
      </c>
      <c r="N101" s="514">
        <f>((('Cálculos Cambalache (60%)'!$B$42*(N92))+('Cálculos Cambalache (60%)'!$F$42*(N93)))/'Cálculos Cambalache (60%)'!$J$43)+((('Cálculos Cambalache (60%)'!$M$42*(N95))+('Cálculos Cambalache (60%)'!$Q$42*(N96)))/'Cálculos Cambalache (60%)'!$U$43)</f>
        <v>0.35449999999999998</v>
      </c>
      <c r="O101" s="532">
        <f t="shared" si="16"/>
        <v>28.453999999999997</v>
      </c>
    </row>
    <row r="102" spans="1:15" ht="21.75" customHeight="1" x14ac:dyDescent="0.2">
      <c r="A102" s="513" t="s">
        <v>23</v>
      </c>
      <c r="B102" s="513" t="s">
        <v>96</v>
      </c>
      <c r="C102" s="519">
        <f>((('Cálculos Cambalache (60%)'!$B$50*(C92))+('Cálculos Cambalache (60%)'!$F$50*(C93)))/'Cálculos Cambalache (60%)'!$J$51)+((('Cálculos Cambalache (60%)'!$M$50*(C95))+('Cálculos Cambalache (60%)'!$Q$50*(C96)))/'Cálculos Cambalache (60%)'!$U$51)</f>
        <v>5.1059999999999994E-3</v>
      </c>
      <c r="D102" s="519">
        <f>((('Cálculos Cambalache (60%)'!$B$50*(D92))+('Cálculos Cambalache (60%)'!$F$50*(D93)))/'Cálculos Cambalache (60%)'!$J$51)+((('Cálculos Cambalache (60%)'!$M$50*(D95))+('Cálculos Cambalache (60%)'!$Q$50*(D96)))/'Cálculos Cambalache (60%)'!$U$51)</f>
        <v>4.3940000000000003E-3</v>
      </c>
      <c r="E102" s="519">
        <f>((('Cálculos Cambalache (60%)'!$B$50*(E92))+('Cálculos Cambalache (60%)'!$F$50*(E93)))/'Cálculos Cambalache (60%)'!$J$51)+((('Cálculos Cambalache (60%)'!$M$50*(E95))+('Cálculos Cambalache (60%)'!$Q$50*(E96)))/'Cálculos Cambalache (60%)'!$U$51)</f>
        <v>6.741500000000001E-3</v>
      </c>
      <c r="F102" s="519">
        <f>((('Cálculos Cambalache (60%)'!$B$50*(F92))+('Cálculos Cambalache (60%)'!$F$50*(F93)))/'Cálculos Cambalache (60%)'!$J$51)+((('Cálculos Cambalache (60%)'!$M$50*(F95))+('Cálculos Cambalache (60%)'!$Q$50*(F96)))/'Cálculos Cambalache (60%)'!$U$51)</f>
        <v>7.8224999999999996E-3</v>
      </c>
      <c r="G102" s="519">
        <f>((('Cálculos Cambalache (60%)'!$B$50*(G92))+('Cálculos Cambalache (60%)'!$F$50*(G93)))/'Cálculos Cambalache (60%)'!$J$51)+((('Cálculos Cambalache (60%)'!$M$50*(G95))+('Cálculos Cambalache (60%)'!$Q$50*(G96)))/'Cálculos Cambalache (60%)'!$U$51)</f>
        <v>2.8899999999999998E-3</v>
      </c>
      <c r="H102" s="519">
        <f>((('Cálculos Cambalache (60%)'!$B$50*(H92))+('Cálculos Cambalache (60%)'!$F$50*(H93)))/'Cálculos Cambalache (60%)'!$J$51)+((('Cálculos Cambalache (60%)'!$M$50*(H95))+('Cálculos Cambalache (60%)'!$Q$50*(H96)))/'Cálculos Cambalache (60%)'!$U$51)</f>
        <v>2.9074999999999999E-3</v>
      </c>
      <c r="I102" s="519">
        <f>((('Cálculos Cambalache (60%)'!$B$50*(I92))+('Cálculos Cambalache (60%)'!$F$50*(I93)))/'Cálculos Cambalache (60%)'!$J$51)+((('Cálculos Cambalache (60%)'!$M$50*(I95))+('Cálculos Cambalache (60%)'!$Q$50*(I96)))/'Cálculos Cambalache (60%)'!$U$51)</f>
        <v>3.1375000000000001E-3</v>
      </c>
      <c r="J102" s="519">
        <f>((('Cálculos Cambalache (60%)'!$B$50*(J92))+('Cálculos Cambalache (60%)'!$F$50*(J93)))/'Cálculos Cambalache (60%)'!$J$51)+((('Cálculos Cambalache (60%)'!$M$50*(J95))+('Cálculos Cambalache (60%)'!$Q$50*(J96)))/'Cálculos Cambalache (60%)'!$U$51)</f>
        <v>3.4784999999999998E-3</v>
      </c>
      <c r="K102" s="519">
        <f>((('Cálculos Cambalache (60%)'!$B$50*(K92))+('Cálculos Cambalache (60%)'!$F$50*(K93)))/'Cálculos Cambalache (60%)'!$J$51)+((('Cálculos Cambalache (60%)'!$M$50*(K95))+('Cálculos Cambalache (60%)'!$Q$50*(K96)))/'Cálculos Cambalache (60%)'!$U$51)</f>
        <v>1.8634999999999999E-3</v>
      </c>
      <c r="L102" s="519">
        <f>((('Cálculos Cambalache (60%)'!$B$50*(L92))+('Cálculos Cambalache (60%)'!$F$50*(L93)))/'Cálculos Cambalache (60%)'!$J$51)+((('Cálculos Cambalache (60%)'!$M$50*(L95))+('Cálculos Cambalache (60%)'!$Q$50*(L96)))/'Cálculos Cambalache (60%)'!$U$51)</f>
        <v>4.0904999999999995E-3</v>
      </c>
      <c r="M102" s="519">
        <f>((('Cálculos Cambalache (60%)'!$B$50*(M92))+('Cálculos Cambalache (60%)'!$F$50*(M93)))/'Cálculos Cambalache (60%)'!$J$51)+((('Cálculos Cambalache (60%)'!$M$50*(M95))+('Cálculos Cambalache (60%)'!$Q$50*(M96)))/'Cálculos Cambalache (60%)'!$U$51)</f>
        <v>1.2755000000000002E-3</v>
      </c>
      <c r="N102" s="519">
        <f>((('Cálculos Cambalache (60%)'!$B$50*(N92))+('Cálculos Cambalache (60%)'!$F$50*(N93)))/'Cálculos Cambalache (60%)'!$J$51)+((('Cálculos Cambalache (60%)'!$M$50*(N95))+('Cálculos Cambalache (60%)'!$Q$50*(N96)))/'Cálculos Cambalache (60%)'!$U$51)</f>
        <v>5.7699999999999993E-4</v>
      </c>
      <c r="O102" s="533">
        <f t="shared" si="16"/>
        <v>4.4283999999999997E-2</v>
      </c>
    </row>
    <row r="103" spans="1:15" ht="21.75" customHeight="1" x14ac:dyDescent="0.2">
      <c r="A103" s="513" t="s">
        <v>24</v>
      </c>
      <c r="B103" s="513" t="s">
        <v>96</v>
      </c>
      <c r="C103" s="514">
        <f>('Cálculos Cambalache (60%)'!$B$62*(SUM(C91))/'Cálculos Cambalache (60%)'!$F$63)+('Cálculos Cambalache (60%)'!$M$62*(SUM(C94))/'Cálculos Cambalache (60%)'!$Q$63)</f>
        <v>37396.00371528</v>
      </c>
      <c r="D103" s="514">
        <f>('Cálculos Cambalache (60%)'!$B$62*(SUM(D91))/'Cálculos Cambalache (60%)'!$F$63)+('Cálculos Cambalache (60%)'!$M$62*(SUM(D94))/'Cálculos Cambalache (60%)'!$Q$63)</f>
        <v>30741.30145422</v>
      </c>
      <c r="E103" s="514">
        <f>('Cálculos Cambalache (60%)'!$B$62*(SUM(E91))/'Cálculos Cambalache (60%)'!$F$63)+('Cálculos Cambalache (60%)'!$M$62*(SUM(E94))/'Cálculos Cambalache (60%)'!$Q$63)</f>
        <v>47658.284518319997</v>
      </c>
      <c r="F103" s="514">
        <f>('Cálculos Cambalache (60%)'!$B$62*(SUM(F91))/'Cálculos Cambalache (60%)'!$F$63)+('Cálculos Cambalache (60%)'!$M$62*(SUM(F94))/'Cálculos Cambalache (60%)'!$Q$63)</f>
        <v>53591.898743459999</v>
      </c>
      <c r="G103" s="514">
        <f>('Cálculos Cambalache (60%)'!$B$62*(SUM(G91))/'Cálculos Cambalache (60%)'!$F$63)+('Cálculos Cambalache (60%)'!$M$62*(SUM(G94))/'Cálculos Cambalache (60%)'!$Q$63)</f>
        <v>21984.06742182</v>
      </c>
      <c r="H103" s="514">
        <f>('Cálculos Cambalache (60%)'!$B$62*(SUM(H91))/'Cálculos Cambalache (60%)'!$F$63)+('Cálculos Cambalache (60%)'!$M$62*(SUM(H94))/'Cálculos Cambalache (60%)'!$Q$63)</f>
        <v>20505.325827419998</v>
      </c>
      <c r="I103" s="514">
        <f>('Cálculos Cambalache (60%)'!$B$62*(SUM(I91))/'Cálculos Cambalache (60%)'!$F$63)+('Cálculos Cambalache (60%)'!$M$62*(SUM(I94))/'Cálculos Cambalache (60%)'!$Q$63)</f>
        <v>21737.544110099996</v>
      </c>
      <c r="J103" s="514">
        <f>('Cálculos Cambalache (60%)'!$B$62*(SUM(J91))/'Cálculos Cambalache (60%)'!$F$63)+('Cálculos Cambalache (60%)'!$M$62*(SUM(J94))/'Cálculos Cambalache (60%)'!$Q$63)</f>
        <v>23783.459062860002</v>
      </c>
      <c r="K103" s="514">
        <f>('Cálculos Cambalache (60%)'!$B$62*(SUM(K91))/'Cálculos Cambalache (60%)'!$F$63)+('Cálculos Cambalache (60%)'!$M$62*(SUM(K94))/'Cálculos Cambalache (60%)'!$Q$63)</f>
        <v>13336.885560600002</v>
      </c>
      <c r="L103" s="514">
        <f>('Cálculos Cambalache (60%)'!$B$62*(SUM(L91))/'Cálculos Cambalache (60%)'!$F$63)+('Cálculos Cambalache (60%)'!$M$62*(SUM(L94))/'Cálculos Cambalache (60%)'!$Q$63)</f>
        <v>27362.304842039997</v>
      </c>
      <c r="M103" s="514">
        <f>('Cálculos Cambalache (60%)'!$B$62*(SUM(M91))/'Cálculos Cambalache (60%)'!$F$63)+('Cálculos Cambalache (60%)'!$M$62*(SUM(M94))/'Cálculos Cambalache (60%)'!$Q$63)</f>
        <v>12076.555635899998</v>
      </c>
      <c r="N103" s="514">
        <f>('Cálculos Cambalache (60%)'!$B$62*(SUM(N91))/'Cálculos Cambalache (60%)'!$F$63)+('Cálculos Cambalache (60%)'!$M$62*(SUM(N94))/'Cálculos Cambalache (60%)'!$Q$63)</f>
        <v>4865.9502767399999</v>
      </c>
      <c r="O103" s="532">
        <f t="shared" si="16"/>
        <v>315039.58116876002</v>
      </c>
    </row>
    <row r="104" spans="1:15" ht="21.75" customHeight="1" x14ac:dyDescent="0.2">
      <c r="A104" s="513" t="s">
        <v>20</v>
      </c>
      <c r="B104" s="513" t="s">
        <v>96</v>
      </c>
      <c r="C104" s="514">
        <f t="shared" ref="C104:N104" si="17">C97/2000</f>
        <v>25.998699999999996</v>
      </c>
      <c r="D104" s="514">
        <f t="shared" si="17"/>
        <v>25.265999999999998</v>
      </c>
      <c r="E104" s="514">
        <f t="shared" si="17"/>
        <v>38.411399999999993</v>
      </c>
      <c r="F104" s="514">
        <f t="shared" si="17"/>
        <v>41.313400000000001</v>
      </c>
      <c r="G104" s="514">
        <f t="shared" si="17"/>
        <v>17.992900000000002</v>
      </c>
      <c r="H104" s="514">
        <f t="shared" si="17"/>
        <v>15.92465</v>
      </c>
      <c r="I104" s="514">
        <f t="shared" si="17"/>
        <v>15.844749999999999</v>
      </c>
      <c r="J104" s="514">
        <f t="shared" si="17"/>
        <v>17.06915</v>
      </c>
      <c r="K104" s="514">
        <f t="shared" si="17"/>
        <v>10.5055</v>
      </c>
      <c r="L104" s="514">
        <f t="shared" si="17"/>
        <v>19.507999999999999</v>
      </c>
      <c r="M104" s="514">
        <f t="shared" si="17"/>
        <v>10.31325</v>
      </c>
      <c r="N104" s="514">
        <f t="shared" si="17"/>
        <v>5.3121499999999999</v>
      </c>
      <c r="O104" s="532">
        <f t="shared" si="16"/>
        <v>243.45985000000002</v>
      </c>
    </row>
    <row r="105" spans="1:15" ht="21.75" customHeight="1" x14ac:dyDescent="0.2">
      <c r="A105" s="513" t="s">
        <v>21</v>
      </c>
      <c r="B105" s="513" t="s">
        <v>96</v>
      </c>
      <c r="C105" s="514">
        <f t="shared" ref="C105:N105" si="18">C98/2000</f>
        <v>4.7995000000000001</v>
      </c>
      <c r="D105" s="514">
        <f t="shared" si="18"/>
        <v>3.2044999999999999</v>
      </c>
      <c r="E105" s="514">
        <f t="shared" si="18"/>
        <v>5.2534999999999998</v>
      </c>
      <c r="F105" s="514">
        <f t="shared" si="18"/>
        <v>4.6444999999999999</v>
      </c>
      <c r="G105" s="514">
        <f t="shared" si="18"/>
        <v>3.2029999999999998</v>
      </c>
      <c r="H105" s="514">
        <f t="shared" si="18"/>
        <v>2.0295000000000001</v>
      </c>
      <c r="I105" s="514">
        <f t="shared" si="18"/>
        <v>1.9225000000000001</v>
      </c>
      <c r="J105" s="514">
        <f t="shared" si="18"/>
        <v>1.6830000000000001</v>
      </c>
      <c r="K105" s="514">
        <f t="shared" si="18"/>
        <v>1.62</v>
      </c>
      <c r="L105" s="514">
        <f t="shared" si="18"/>
        <v>1.554</v>
      </c>
      <c r="M105" s="514">
        <f t="shared" si="18"/>
        <v>1.73</v>
      </c>
      <c r="N105" s="514">
        <f t="shared" si="18"/>
        <v>1.1425000000000001</v>
      </c>
      <c r="O105" s="532">
        <f t="shared" si="16"/>
        <v>32.786499999999997</v>
      </c>
    </row>
    <row r="106" spans="1:15" ht="31.5" customHeight="1" x14ac:dyDescent="0.2">
      <c r="A106" s="609" t="s">
        <v>414</v>
      </c>
      <c r="B106" s="609"/>
      <c r="C106" s="525"/>
      <c r="D106" s="525"/>
      <c r="E106" s="525"/>
      <c r="F106" s="525"/>
      <c r="G106" s="525"/>
      <c r="H106" s="525"/>
      <c r="I106" s="525"/>
      <c r="J106" s="525"/>
      <c r="K106" s="525"/>
      <c r="L106" s="525"/>
      <c r="M106" s="525"/>
      <c r="N106" s="525"/>
      <c r="O106" s="525"/>
    </row>
    <row r="107" spans="1:15" ht="21.75" hidden="1" customHeight="1" x14ac:dyDescent="0.2">
      <c r="A107" s="513" t="s">
        <v>415</v>
      </c>
      <c r="B107" s="513" t="s">
        <v>94</v>
      </c>
      <c r="C107" s="526">
        <f>Turbinas!$F$6*42</f>
        <v>257153.82</v>
      </c>
      <c r="D107" s="526">
        <f>Turbinas!$F$7*42</f>
        <v>190026.06</v>
      </c>
      <c r="E107" s="526">
        <f>Turbinas!$F$8*42</f>
        <v>399595.14</v>
      </c>
      <c r="F107" s="526">
        <f>Turbinas!$F$9*42</f>
        <v>549641.81999999995</v>
      </c>
      <c r="G107" s="526">
        <f>Turbinas!$F$10*42</f>
        <v>261418.92</v>
      </c>
      <c r="H107" s="526">
        <f>Turbinas!$F$11*42</f>
        <v>376860.95999999996</v>
      </c>
      <c r="I107" s="526">
        <f>Turbinas!$F$12*42</f>
        <v>368687.34</v>
      </c>
      <c r="J107" s="526">
        <f>Turbinas!$F$13*42</f>
        <v>419571.18000000005</v>
      </c>
      <c r="K107" s="526">
        <f>Turbinas!$F$14*42</f>
        <v>199772.15999999997</v>
      </c>
      <c r="L107" s="526">
        <f>Turbinas!$F$15*42</f>
        <v>558266.1</v>
      </c>
      <c r="M107" s="526">
        <f>Turbinas!$F$16*42</f>
        <v>374700.9</v>
      </c>
      <c r="N107" s="526">
        <f>Turbinas!$F$17*42</f>
        <v>207700.92</v>
      </c>
      <c r="O107" s="527">
        <f>SUM(C107:N107)</f>
        <v>4163395.32</v>
      </c>
    </row>
    <row r="108" spans="1:15" ht="21.75" hidden="1" customHeight="1" x14ac:dyDescent="0.2">
      <c r="A108" s="513" t="s">
        <v>416</v>
      </c>
      <c r="B108" s="513" t="s">
        <v>383</v>
      </c>
      <c r="C108" s="530">
        <f>Turbinas!$U$6</f>
        <v>0.01</v>
      </c>
      <c r="D108" s="530">
        <f>Turbinas!$U$7</f>
        <v>0.01</v>
      </c>
      <c r="E108" s="530">
        <f>Turbinas!$U$8</f>
        <v>0.01</v>
      </c>
      <c r="F108" s="530">
        <f>Turbinas!$U$9</f>
        <v>0.01</v>
      </c>
      <c r="G108" s="530">
        <f>Turbinas!$U$10</f>
        <v>0.01</v>
      </c>
      <c r="H108" s="530">
        <f>Turbinas!$U$11</f>
        <v>0.01</v>
      </c>
      <c r="I108" s="530">
        <f>Turbinas!$U$12</f>
        <v>0.01</v>
      </c>
      <c r="J108" s="530">
        <f>Turbinas!$U$13</f>
        <v>0.01</v>
      </c>
      <c r="K108" s="530">
        <f>Turbinas!$U$14</f>
        <v>0.01</v>
      </c>
      <c r="L108" s="530">
        <f>Turbinas!$U$15</f>
        <v>0.01</v>
      </c>
      <c r="M108" s="530">
        <f>Turbinas!$U$16</f>
        <v>0.01</v>
      </c>
      <c r="N108" s="530">
        <f>Turbinas!$U$17</f>
        <v>0.01</v>
      </c>
      <c r="O108" s="531">
        <f>IF(O107=0,0,SUMPRODUCT(C108:N108,C107:N107)/O107)</f>
        <v>0.01</v>
      </c>
    </row>
    <row r="109" spans="1:15" ht="21.75" hidden="1" customHeight="1" x14ac:dyDescent="0.2">
      <c r="A109" s="513" t="s">
        <v>405</v>
      </c>
      <c r="B109" s="513" t="s">
        <v>94</v>
      </c>
      <c r="C109" s="526">
        <f>Turbinas!$G$6*42</f>
        <v>108275.16</v>
      </c>
      <c r="D109" s="526">
        <f>Turbinas!$G$7*42</f>
        <v>166346.88</v>
      </c>
      <c r="E109" s="526">
        <f>Turbinas!$G$8*42</f>
        <v>333456.89999999997</v>
      </c>
      <c r="F109" s="526">
        <f>Turbinas!$G$9*42</f>
        <v>333419.10000000003</v>
      </c>
      <c r="G109" s="526">
        <f>Turbinas!$G$10*42</f>
        <v>110929.98</v>
      </c>
      <c r="H109" s="526">
        <f>Turbinas!$G$11*42</f>
        <v>244426.97999999998</v>
      </c>
      <c r="I109" s="526">
        <f>Turbinas!$G$12*42</f>
        <v>6076.1399999999994</v>
      </c>
      <c r="J109" s="526">
        <f>Turbinas!$G$13*42</f>
        <v>199567.2</v>
      </c>
      <c r="K109" s="526">
        <f>Turbinas!$G$14*42</f>
        <v>175578.06</v>
      </c>
      <c r="L109" s="526">
        <f>Turbinas!$G$15*42</f>
        <v>348423.18000000005</v>
      </c>
      <c r="M109" s="526">
        <f>Turbinas!$G$16*42</f>
        <v>206232.18</v>
      </c>
      <c r="N109" s="526">
        <f>Turbinas!$G$17*42</f>
        <v>141800.82</v>
      </c>
      <c r="O109" s="527">
        <f>SUM(C109:N109)</f>
        <v>2374532.58</v>
      </c>
    </row>
    <row r="110" spans="1:15" ht="21.75" hidden="1" customHeight="1" x14ac:dyDescent="0.2">
      <c r="A110" s="513" t="s">
        <v>417</v>
      </c>
      <c r="B110" s="513" t="s">
        <v>383</v>
      </c>
      <c r="C110" s="530">
        <f>Turbinas!$V$6</f>
        <v>0.01</v>
      </c>
      <c r="D110" s="530">
        <f>Turbinas!$V$7</f>
        <v>0.01</v>
      </c>
      <c r="E110" s="530">
        <f>Turbinas!$V$8</f>
        <v>0.01</v>
      </c>
      <c r="F110" s="530">
        <f>Turbinas!$V$9</f>
        <v>0.01</v>
      </c>
      <c r="G110" s="530">
        <f>Turbinas!$V$10</f>
        <v>0.01</v>
      </c>
      <c r="H110" s="530">
        <f>Turbinas!$V$11</f>
        <v>0.01</v>
      </c>
      <c r="I110" s="530">
        <f>Turbinas!$V$12</f>
        <v>0.01</v>
      </c>
      <c r="J110" s="530">
        <f>Turbinas!$V$13</f>
        <v>0.01</v>
      </c>
      <c r="K110" s="530">
        <f>Turbinas!$V$14</f>
        <v>0.01</v>
      </c>
      <c r="L110" s="530">
        <f>Turbinas!$V$15</f>
        <v>0.01</v>
      </c>
      <c r="M110" s="530">
        <f>Turbinas!$V$16</f>
        <v>0.01</v>
      </c>
      <c r="N110" s="530">
        <f>Turbinas!$V$17</f>
        <v>0.01</v>
      </c>
      <c r="O110" s="531">
        <f>IF(O109=0,0,SUMPRODUCT(C110:N110,C109:N109)/O109)</f>
        <v>1.0000000000000002E-2</v>
      </c>
    </row>
    <row r="111" spans="1:15" ht="21.75" customHeight="1" x14ac:dyDescent="0.2">
      <c r="A111" s="513" t="s">
        <v>17</v>
      </c>
      <c r="B111" s="513" t="s">
        <v>96</v>
      </c>
      <c r="C111" s="514">
        <f>(('Cálculos Daguao'!$B$19*(C107)*'Cálculos Daguao'!$F$19)/'Cálculos Daguao'!$H$20)+(('Cálculos Daguao'!$L$19*(C109)*'Cálculos Daguao'!$P$19)/'Cálculos Daguao'!$R$20)</f>
        <v>0.30257519544000006</v>
      </c>
      <c r="D111" s="514">
        <f>(('Cálculos Daguao'!$B$19*(D107)*'Cálculos Daguao'!$F$19)/'Cálculos Daguao'!$H$20)+(('Cálculos Daguao'!$L$19*(D109)*'Cálculos Daguao'!$P$19)/'Cálculos Daguao'!$R$20)</f>
        <v>0.29507679432</v>
      </c>
      <c r="E111" s="514">
        <f>(('Cálculos Daguao'!$B$19*(E107)*'Cálculos Daguao'!$F$19)/'Cálculos Daguao'!$H$20)+(('Cálculos Daguao'!$L$19*(E109)*'Cálculos Daguao'!$P$19)/'Cálculos Daguao'!$R$20)</f>
        <v>0.60696708912000008</v>
      </c>
      <c r="F111" s="514">
        <f>(('Cálculos Daguao'!$B$19*(F107)*'Cálculos Daguao'!$F$19)/'Cálculos Daguao'!$H$20)+(('Cálculos Daguao'!$L$19*(F109)*'Cálculos Daguao'!$P$19)/'Cálculos Daguao'!$R$20)</f>
        <v>0.73117444176000013</v>
      </c>
      <c r="G111" s="514">
        <f>(('Cálculos Daguao'!$B$19*(G107)*'Cálculos Daguao'!$F$19)/'Cálculos Daguao'!$H$20)+(('Cálculos Daguao'!$L$19*(G109)*'Cálculos Daguao'!$P$19)/'Cálculos Daguao'!$R$20)</f>
        <v>0.30830488920000004</v>
      </c>
      <c r="H111" s="514">
        <f>(('Cálculos Daguao'!$B$19*(H107)*'Cálculos Daguao'!$F$19)/'Cálculos Daguao'!$H$20)+(('Cálculos Daguao'!$L$19*(H109)*'Cálculos Daguao'!$P$19)/'Cálculos Daguao'!$R$20)</f>
        <v>0.51442641432000002</v>
      </c>
      <c r="I111" s="514">
        <f>(('Cálculos Daguao'!$B$19*(I107)*'Cálculos Daguao'!$F$19)/'Cálculos Daguao'!$H$20)+(('Cálculos Daguao'!$L$19*(I109)*'Cálculos Daguao'!$P$19)/'Cálculos Daguao'!$R$20)</f>
        <v>0.31030416144</v>
      </c>
      <c r="J111" s="514">
        <f>(('Cálculos Daguao'!$B$19*(J107)*'Cálculos Daguao'!$F$19)/'Cálculos Daguao'!$H$20)+(('Cálculos Daguao'!$L$19*(J109)*'Cálculos Daguao'!$P$19)/'Cálculos Daguao'!$R$20)</f>
        <v>0.51264657864000007</v>
      </c>
      <c r="K111" s="514">
        <f>(('Cálculos Daguao'!$B$19*(K107)*'Cálculos Daguao'!$F$19)/'Cálculos Daguao'!$H$20)+(('Cálculos Daguao'!$L$19*(K109)*'Cálculos Daguao'!$P$19)/'Cálculos Daguao'!$R$20)</f>
        <v>0.31078998216000009</v>
      </c>
      <c r="L111" s="514">
        <f>(('Cálculos Daguao'!$B$19*(L107)*'Cálculos Daguao'!$F$19)/'Cálculos Daguao'!$H$20)+(('Cálculos Daguao'!$L$19*(L109)*'Cálculos Daguao'!$P$19)/'Cálculos Daguao'!$R$20)</f>
        <v>0.75073872384000007</v>
      </c>
      <c r="M111" s="514">
        <f>(('Cálculos Daguao'!$B$19*(M107)*'Cálculos Daguao'!$F$19)/'Cálculos Daguao'!$H$20)+(('Cálculos Daguao'!$L$19*(M109)*'Cálculos Daguao'!$P$19)/'Cálculos Daguao'!$R$20)</f>
        <v>0.48101259024000015</v>
      </c>
      <c r="N111" s="514">
        <f>(('Cálculos Daguao'!$B$19*(N107)*'Cálculos Daguao'!$F$19)/'Cálculos Daguao'!$H$20)+(('Cálculos Daguao'!$L$19*(N109)*'Cálculos Daguao'!$P$19)/'Cálculos Daguao'!$R$20)</f>
        <v>0.28938744072000006</v>
      </c>
      <c r="O111" s="532">
        <f t="shared" ref="O111:O117" si="19">SUM(C111:N111)</f>
        <v>5.4134043011999999</v>
      </c>
    </row>
    <row r="112" spans="1:15" ht="21.75" customHeight="1" x14ac:dyDescent="0.2">
      <c r="A112" s="513" t="s">
        <v>377</v>
      </c>
      <c r="B112" s="513" t="s">
        <v>96</v>
      </c>
      <c r="C112" s="514">
        <f>(((1.01*C108)*(C107)*'Cálculos Daguao'!$F$28)/'Cálculos Daguao'!$H$29)+(((1.01*C110)*(C109)*'Cálculos Daguao'!$P$28)/'Cálculos Daguao'!$R$29)</f>
        <v>0.25466745616199998</v>
      </c>
      <c r="D112" s="514">
        <f>(((1.01*D108)*(D107)*'Cálculos Daguao'!$F$28)/'Cálculos Daguao'!$H$29)+(((1.01*D110)*(D109)*'Cálculos Daguao'!$P$28)/'Cálculos Daguao'!$R$29)</f>
        <v>0.248356301886</v>
      </c>
      <c r="E112" s="514">
        <f>(((1.01*E108)*(E107)*'Cálculos Daguao'!$F$28)/'Cálculos Daguao'!$H$29)+(((1.01*E110)*(E109)*'Cálculos Daguao'!$P$28)/'Cálculos Daguao'!$R$29)</f>
        <v>0.51086396667599998</v>
      </c>
      <c r="F112" s="514">
        <f>(((1.01*F108)*(F107)*'Cálculos Daguao'!$F$28)/'Cálculos Daguao'!$H$29)+(((1.01*F110)*(F109)*'Cálculos Daguao'!$P$28)/'Cálculos Daguao'!$R$29)</f>
        <v>0.61540515514799998</v>
      </c>
      <c r="G112" s="514">
        <f>(((1.01*G108)*(G107)*'Cálculos Daguao'!$F$28)/'Cálculos Daguao'!$H$29)+(((1.01*G110)*(G109)*'Cálculos Daguao'!$P$28)/'Cálculos Daguao'!$R$29)</f>
        <v>0.25948994841</v>
      </c>
      <c r="H112" s="514">
        <f>(((1.01*H108)*(H107)*'Cálculos Daguao'!$F$28)/'Cálculos Daguao'!$H$29)+(((1.01*H110)*(H109)*'Cálculos Daguao'!$P$28)/'Cálculos Daguao'!$R$29)</f>
        <v>0.43297556538600002</v>
      </c>
      <c r="I112" s="514">
        <f>(((1.01*I108)*(I107)*'Cálculos Daguao'!$F$28)/'Cálculos Daguao'!$H$29)+(((1.01*I110)*(I109)*'Cálculos Daguao'!$P$28)/'Cálculos Daguao'!$R$29)</f>
        <v>0.26117266921200005</v>
      </c>
      <c r="J112" s="514">
        <f>(((1.01*J108)*(J107)*'Cálculos Daguao'!$F$28)/'Cálculos Daguao'!$H$29)+(((1.01*J110)*(J109)*'Cálculos Daguao'!$P$28)/'Cálculos Daguao'!$R$29)</f>
        <v>0.43147753702199998</v>
      </c>
      <c r="K112" s="514">
        <f>(((1.01*K108)*(K107)*'Cálculos Daguao'!$F$28)/'Cálculos Daguao'!$H$29)+(((1.01*K110)*(K109)*'Cálculos Daguao'!$P$28)/'Cálculos Daguao'!$R$29)</f>
        <v>0.261581568318</v>
      </c>
      <c r="L112" s="514">
        <f>(((1.01*L108)*(L107)*'Cálculos Daguao'!$F$28)/'Cálculos Daguao'!$H$29)+(((1.01*L110)*(L109)*'Cálculos Daguao'!$P$28)/'Cálculos Daguao'!$R$29)</f>
        <v>0.63187175923200001</v>
      </c>
      <c r="M112" s="514">
        <f>(((1.01*M108)*(M107)*'Cálculos Daguao'!$F$28)/'Cálculos Daguao'!$H$29)+(((1.01*M110)*(M109)*'Cálculos Daguao'!$P$28)/'Cálculos Daguao'!$R$29)</f>
        <v>0.40485226345199998</v>
      </c>
      <c r="N112" s="514">
        <f>(((1.01*N108)*(N107)*'Cálculos Daguao'!$F$28)/'Cálculos Daguao'!$H$29)+(((1.01*N110)*(N109)*'Cálculos Daguao'!$P$28)/'Cálculos Daguao'!$R$29)</f>
        <v>0.24356776260600005</v>
      </c>
      <c r="O112" s="532">
        <f t="shared" si="19"/>
        <v>4.5562819535100001</v>
      </c>
    </row>
    <row r="113" spans="1:15" ht="21.75" customHeight="1" x14ac:dyDescent="0.2">
      <c r="A113" s="513" t="s">
        <v>20</v>
      </c>
      <c r="B113" s="513" t="s">
        <v>96</v>
      </c>
      <c r="C113" s="514">
        <f>(('Cálculos Daguao'!$B$37*(C107)*'Cálculos Daguao'!$F$37)/'Cálculos Daguao'!$H$38)+(('Cálculos Daguao'!$L$37*(C109)*'Cálculos Daguao'!$P$37)/'Cálculos Daguao'!$R$38)</f>
        <v>22.188847665600004</v>
      </c>
      <c r="D113" s="514">
        <f>(('Cálculos Daguao'!$B$37*(D107)*'Cálculos Daguao'!$F$37)/'Cálculos Daguao'!$H$38)+(('Cálculos Daguao'!$L$37*(D109)*'Cálculos Daguao'!$P$37)/'Cálculos Daguao'!$R$38)</f>
        <v>21.638964916800003</v>
      </c>
      <c r="E113" s="514">
        <f>(('Cálculos Daguao'!$B$37*(E107)*'Cálculos Daguao'!$F$37)/'Cálculos Daguao'!$H$38)+(('Cálculos Daguao'!$L$37*(E109)*'Cálculos Daguao'!$P$37)/'Cálculos Daguao'!$R$38)</f>
        <v>44.510919868800002</v>
      </c>
      <c r="F113" s="514">
        <f>(('Cálculos Daguao'!$B$37*(F107)*'Cálculos Daguao'!$F$37)/'Cálculos Daguao'!$H$38)+(('Cálculos Daguao'!$L$37*(F109)*'Cálculos Daguao'!$P$37)/'Cálculos Daguao'!$R$38)</f>
        <v>53.619459062400011</v>
      </c>
      <c r="G113" s="514">
        <f>(('Cálculos Daguao'!$B$37*(G107)*'Cálculos Daguao'!$F$37)/'Cálculos Daguao'!$H$38)+(('Cálculos Daguao'!$L$37*(G109)*'Cálculos Daguao'!$P$37)/'Cálculos Daguao'!$R$38)</f>
        <v>22.609025208000002</v>
      </c>
      <c r="H113" s="514">
        <f>(('Cálculos Daguao'!$B$37*(H107)*'Cálculos Daguao'!$F$37)/'Cálculos Daguao'!$H$38)+(('Cálculos Daguao'!$L$37*(H109)*'Cálculos Daguao'!$P$37)/'Cálculos Daguao'!$R$38)</f>
        <v>37.724603716800004</v>
      </c>
      <c r="I113" s="514">
        <f>(('Cálculos Daguao'!$B$37*(I107)*'Cálculos Daguao'!$F$37)/'Cálculos Daguao'!$H$38)+(('Cálculos Daguao'!$L$37*(I109)*'Cálculos Daguao'!$P$37)/'Cálculos Daguao'!$R$38)</f>
        <v>22.755638505600004</v>
      </c>
      <c r="J113" s="514">
        <f>(('Cálculos Daguao'!$B$37*(J107)*'Cálculos Daguao'!$F$37)/'Cálculos Daguao'!$H$38)+(('Cálculos Daguao'!$L$37*(J109)*'Cálculos Daguao'!$P$37)/'Cálculos Daguao'!$R$38)</f>
        <v>37.594082433600008</v>
      </c>
      <c r="K113" s="514">
        <f>(('Cálculos Daguao'!$B$37*(K107)*'Cálculos Daguao'!$F$37)/'Cálculos Daguao'!$H$38)+(('Cálculos Daguao'!$L$37*(K109)*'Cálculos Daguao'!$P$37)/'Cálculos Daguao'!$R$38)</f>
        <v>22.7912653584</v>
      </c>
      <c r="L113" s="514">
        <f>(('Cálculos Daguao'!$B$37*(L107)*'Cálculos Daguao'!$F$37)/'Cálculos Daguao'!$H$38)+(('Cálculos Daguao'!$L$37*(L109)*'Cálculos Daguao'!$P$37)/'Cálculos Daguao'!$R$38)</f>
        <v>55.054173081600013</v>
      </c>
      <c r="M113" s="514">
        <f>(('Cálculos Daguao'!$B$37*(M107)*'Cálculos Daguao'!$F$37)/'Cálculos Daguao'!$H$38)+(('Cálculos Daguao'!$L$37*(M109)*'Cálculos Daguao'!$P$37)/'Cálculos Daguao'!$R$38)</f>
        <v>35.274256617600003</v>
      </c>
      <c r="N113" s="514">
        <f>(('Cálculos Daguao'!$B$37*(N107)*'Cálculos Daguao'!$F$37)/'Cálculos Daguao'!$H$38)+(('Cálculos Daguao'!$L$37*(N109)*'Cálculos Daguao'!$P$37)/'Cálculos Daguao'!$R$38)</f>
        <v>21.221745652800003</v>
      </c>
      <c r="O113" s="532">
        <f t="shared" si="19"/>
        <v>396.98298208800009</v>
      </c>
    </row>
    <row r="114" spans="1:15" ht="21.75" customHeight="1" x14ac:dyDescent="0.2">
      <c r="A114" s="513" t="s">
        <v>22</v>
      </c>
      <c r="B114" s="513" t="s">
        <v>96</v>
      </c>
      <c r="C114" s="514">
        <f>(('Cálculos Daguao'!$B$46*(C107)*'Cálculos Daguao'!$F$46)/'Cálculos Daguao'!$H$47)+(('Cálculos Daguao'!$L$46*(C109)*'Cálculos Daguao'!$P$46)/'Cálculos Daguao'!$R$47)</f>
        <v>1.0337985844200001E-2</v>
      </c>
      <c r="D114" s="514">
        <f>(('Cálculos Daguao'!$B$46*(D107)*'Cálculos Daguao'!$F$46)/'Cálculos Daguao'!$H$47)+(('Cálculos Daguao'!$L$46*(D109)*'Cálculos Daguao'!$P$46)/'Cálculos Daguao'!$R$47)</f>
        <v>1.0081790472600001E-2</v>
      </c>
      <c r="E114" s="514">
        <f>(('Cálculos Daguao'!$B$46*(E107)*'Cálculos Daguao'!$F$46)/'Cálculos Daguao'!$H$47)+(('Cálculos Daguao'!$L$46*(E109)*'Cálculos Daguao'!$P$46)/'Cálculos Daguao'!$R$47)</f>
        <v>2.07380422116E-2</v>
      </c>
      <c r="F114" s="514">
        <f>(('Cálculos Daguao'!$B$46*(F107)*'Cálculos Daguao'!$F$46)/'Cálculos Daguao'!$H$47)+(('Cálculos Daguao'!$L$46*(F109)*'Cálculos Daguao'!$P$46)/'Cálculos Daguao'!$R$47)</f>
        <v>2.49817934268E-2</v>
      </c>
      <c r="G114" s="514">
        <f>(('Cálculos Daguao'!$B$46*(G107)*'Cálculos Daguao'!$F$46)/'Cálculos Daguao'!$H$47)+(('Cálculos Daguao'!$L$46*(G109)*'Cálculos Daguao'!$P$46)/'Cálculos Daguao'!$R$47)</f>
        <v>1.0533750381000002E-2</v>
      </c>
      <c r="H114" s="514">
        <f>(('Cálculos Daguao'!$B$46*(H107)*'Cálculos Daguao'!$F$46)/'Cálculos Daguao'!$H$47)+(('Cálculos Daguao'!$L$46*(H109)*'Cálculos Daguao'!$P$46)/'Cálculos Daguao'!$R$47)</f>
        <v>1.7576235822599998E-2</v>
      </c>
      <c r="I114" s="514">
        <f>(('Cálculos Daguao'!$B$46*(I107)*'Cálculos Daguao'!$F$46)/'Cálculos Daguao'!$H$47)+(('Cálculos Daguao'!$L$46*(I109)*'Cálculos Daguao'!$P$46)/'Cálculos Daguao'!$R$47)</f>
        <v>1.0602058849200001E-2</v>
      </c>
      <c r="J114" s="514">
        <f>(('Cálculos Daguao'!$B$46*(J107)*'Cálculos Daguao'!$F$46)/'Cálculos Daguao'!$H$47)+(('Cálculos Daguao'!$L$46*(J109)*'Cálculos Daguao'!$P$46)/'Cálculos Daguao'!$R$47)</f>
        <v>1.7515424770200006E-2</v>
      </c>
      <c r="K114" s="514">
        <f>(('Cálculos Daguao'!$B$46*(K107)*'Cálculos Daguao'!$F$46)/'Cálculos Daguao'!$H$47)+(('Cálculos Daguao'!$L$46*(K109)*'Cálculos Daguao'!$P$46)/'Cálculos Daguao'!$R$47)</f>
        <v>1.0618657723799999E-2</v>
      </c>
      <c r="L114" s="514">
        <f>(('Cálculos Daguao'!$B$46*(L107)*'Cálculos Daguao'!$F$46)/'Cálculos Daguao'!$H$47)+(('Cálculos Daguao'!$L$46*(L109)*'Cálculos Daguao'!$P$46)/'Cálculos Daguao'!$R$47)</f>
        <v>2.5650239731200002E-2</v>
      </c>
      <c r="M114" s="514">
        <f>(('Cálculos Daguao'!$B$46*(M107)*'Cálculos Daguao'!$F$46)/'Cálculos Daguao'!$H$47)+(('Cálculos Daguao'!$L$46*(M109)*'Cálculos Daguao'!$P$46)/'Cálculos Daguao'!$R$47)</f>
        <v>1.6434596833200001E-2</v>
      </c>
      <c r="N114" s="514">
        <f>(('Cálculos Daguao'!$B$46*(N107)*'Cálculos Daguao'!$F$46)/'Cálculos Daguao'!$H$47)+(('Cálculos Daguao'!$L$46*(N109)*'Cálculos Daguao'!$P$46)/'Cálculos Daguao'!$R$47)</f>
        <v>9.8874042246000007E-3</v>
      </c>
      <c r="O114" s="532">
        <f t="shared" si="19"/>
        <v>0.18495798029100002</v>
      </c>
    </row>
    <row r="115" spans="1:15" ht="21.75" customHeight="1" x14ac:dyDescent="0.2">
      <c r="A115" s="513" t="s">
        <v>21</v>
      </c>
      <c r="B115" s="513" t="s">
        <v>96</v>
      </c>
      <c r="C115" s="514">
        <f>(('Cálculos Daguao'!$B$59*(C107)*'Cálculos Daguao'!$F$59)/'Cálculos Daguao'!$H$60)+(('Cálculos Daguao'!$L$59*(C109)*'Cálculos Daguao'!$P$59)/'Cálculos Daguao'!$R$60)</f>
        <v>8.3208178746000006E-2</v>
      </c>
      <c r="D115" s="514">
        <f>(('Cálculos Daguao'!$B$59*(D107)*'Cálculos Daguao'!$F$59)/'Cálculos Daguao'!$H$60)+(('Cálculos Daguao'!$L$59*(D109)*'Cálculos Daguao'!$P$59)/'Cálculos Daguao'!$R$60)</f>
        <v>8.1146118438000014E-2</v>
      </c>
      <c r="E115" s="514">
        <f>(('Cálculos Daguao'!$B$59*(E107)*'Cálculos Daguao'!$F$59)/'Cálculos Daguao'!$H$60)+(('Cálculos Daguao'!$L$59*(E109)*'Cálculos Daguao'!$P$59)/'Cálculos Daguao'!$R$60)</f>
        <v>0.16691594950800001</v>
      </c>
      <c r="F115" s="514">
        <f>(('Cálculos Daguao'!$B$59*(F107)*'Cálculos Daguao'!$F$59)/'Cálculos Daguao'!$H$60)+(('Cálculos Daguao'!$L$59*(F109)*'Cálculos Daguao'!$P$59)/'Cálculos Daguao'!$R$60)</f>
        <v>0.201072971484</v>
      </c>
      <c r="G115" s="514">
        <f>(('Cálculos Daguao'!$B$59*(G107)*'Cálculos Daguao'!$F$59)/'Cálculos Daguao'!$H$60)+(('Cálculos Daguao'!$L$59*(G109)*'Cálculos Daguao'!$P$59)/'Cálculos Daguao'!$R$60)</f>
        <v>8.4783844530000013E-2</v>
      </c>
      <c r="H115" s="514">
        <f>(('Cálculos Daguao'!$B$59*(H107)*'Cálculos Daguao'!$F$59)/'Cálculos Daguao'!$H$60)+(('Cálculos Daguao'!$L$59*(H109)*'Cálculos Daguao'!$P$59)/'Cálculos Daguao'!$R$60)</f>
        <v>0.14146726393799999</v>
      </c>
      <c r="I115" s="514">
        <f>(('Cálculos Daguao'!$B$59*(I107)*'Cálculos Daguao'!$F$59)/'Cálculos Daguao'!$H$60)+(('Cálculos Daguao'!$L$59*(I109)*'Cálculos Daguao'!$P$59)/'Cálculos Daguao'!$R$60)</f>
        <v>8.5333644396000011E-2</v>
      </c>
      <c r="J115" s="514">
        <f>(('Cálculos Daguao'!$B$59*(J107)*'Cálculos Daguao'!$F$59)/'Cálculos Daguao'!$H$60)+(('Cálculos Daguao'!$L$59*(J109)*'Cálculos Daguao'!$P$59)/'Cálculos Daguao'!$R$60)</f>
        <v>0.14097780912600003</v>
      </c>
      <c r="K115" s="514">
        <f>(('Cálculos Daguao'!$B$59*(K107)*'Cálculos Daguao'!$F$59)/'Cálculos Daguao'!$H$60)+(('Cálculos Daguao'!$L$59*(K109)*'Cálculos Daguao'!$P$59)/'Cálculos Daguao'!$R$60)</f>
        <v>8.5467245093999999E-2</v>
      </c>
      <c r="L115" s="514">
        <f>(('Cálculos Daguao'!$B$59*(L107)*'Cálculos Daguao'!$F$59)/'Cálculos Daguao'!$H$60)+(('Cálculos Daguao'!$L$59*(L109)*'Cálculos Daguao'!$P$59)/'Cálculos Daguao'!$R$60)</f>
        <v>0.20645314905600004</v>
      </c>
      <c r="M115" s="514">
        <f>(('Cálculos Daguao'!$B$59*(M107)*'Cálculos Daguao'!$F$59)/'Cálculos Daguao'!$H$60)+(('Cálculos Daguao'!$L$59*(M109)*'Cálculos Daguao'!$P$59)/'Cálculos Daguao'!$R$60)</f>
        <v>0.13227846231599999</v>
      </c>
      <c r="N115" s="514">
        <f>(('Cálculos Daguao'!$B$59*(N107)*'Cálculos Daguao'!$F$59)/'Cálculos Daguao'!$H$60)+(('Cálculos Daguao'!$L$59*(N109)*'Cálculos Daguao'!$P$59)/'Cálculos Daguao'!$R$60)</f>
        <v>7.9581546198000008E-2</v>
      </c>
      <c r="O115" s="532">
        <f t="shared" si="19"/>
        <v>1.48868618283</v>
      </c>
    </row>
    <row r="116" spans="1:15" ht="21.75" customHeight="1" x14ac:dyDescent="0.2">
      <c r="A116" s="513" t="s">
        <v>23</v>
      </c>
      <c r="B116" s="513" t="s">
        <v>96</v>
      </c>
      <c r="C116" s="519">
        <f>(('Cálculos Daguao'!$B$68*(C107)*'Cálculos Daguao'!$F$68)/'Cálculos Daguao'!$H$69)+(('Cálculos Daguao'!$L$68*(C109)*'Cálculos Daguao'!$P$68)/'Cálculos Daguao'!$R$69)</f>
        <v>3.5300439468000002E-4</v>
      </c>
      <c r="D116" s="519">
        <f>(('Cálculos Daguao'!$B$68*(D107)*'Cálculos Daguao'!$F$68)/'Cálculos Daguao'!$H$69)+(('Cálculos Daguao'!$L$68*(D109)*'Cálculos Daguao'!$P$68)/'Cálculos Daguao'!$R$69)</f>
        <v>3.4425626003999998E-4</v>
      </c>
      <c r="E116" s="519">
        <f>(('Cálculos Daguao'!$B$68*(E107)*'Cálculos Daguao'!$F$68)/'Cálculos Daguao'!$H$69)+(('Cálculos Daguao'!$L$68*(E109)*'Cálculos Daguao'!$P$68)/'Cálculos Daguao'!$R$69)</f>
        <v>7.0812827063999992E-4</v>
      </c>
      <c r="F116" s="519">
        <f>(('Cálculos Daguao'!$B$68*(F107)*'Cálculos Daguao'!$F$68)/'Cálculos Daguao'!$H$69)+(('Cálculos Daguao'!$L$68*(F109)*'Cálculos Daguao'!$P$68)/'Cálculos Daguao'!$R$69)</f>
        <v>8.5303684872000004E-4</v>
      </c>
      <c r="G116" s="519">
        <f>(('Cálculos Daguao'!$B$68*(G107)*'Cálculos Daguao'!$F$68)/'Cálculos Daguao'!$H$69)+(('Cálculos Daguao'!$L$68*(G109)*'Cálculos Daguao'!$P$68)/'Cálculos Daguao'!$R$69)</f>
        <v>3.5968903740000004E-4</v>
      </c>
      <c r="H116" s="519">
        <f>(('Cálculos Daguao'!$B$68*(H107)*'Cálculos Daguao'!$F$68)/'Cálculos Daguao'!$H$69)+(('Cálculos Daguao'!$L$68*(H109)*'Cálculos Daguao'!$P$68)/'Cálculos Daguao'!$R$69)</f>
        <v>6.0016415003999999E-4</v>
      </c>
      <c r="I116" s="519">
        <f>(('Cálculos Daguao'!$B$68*(I107)*'Cálculos Daguao'!$F$68)/'Cálculos Daguao'!$H$69)+(('Cálculos Daguao'!$L$68*(I109)*'Cálculos Daguao'!$P$68)/'Cálculos Daguao'!$R$69)</f>
        <v>3.6202152168000006E-4</v>
      </c>
      <c r="J116" s="519">
        <f>(('Cálculos Daguao'!$B$68*(J107)*'Cálculos Daguao'!$F$68)/'Cálculos Daguao'!$H$69)+(('Cálculos Daguao'!$L$68*(J109)*'Cálculos Daguao'!$P$68)/'Cálculos Daguao'!$R$69)</f>
        <v>5.9808767508000012E-4</v>
      </c>
      <c r="K116" s="519">
        <f>(('Cálculos Daguao'!$B$68*(K107)*'Cálculos Daguao'!$F$68)/'Cálculos Daguao'!$H$69)+(('Cálculos Daguao'!$L$68*(K109)*'Cálculos Daguao'!$P$68)/'Cálculos Daguao'!$R$69)</f>
        <v>3.6258831252000001E-4</v>
      </c>
      <c r="L116" s="519">
        <f>(('Cálculos Daguao'!$B$68*(L107)*'Cálculos Daguao'!$F$68)/'Cálculos Daguao'!$H$69)+(('Cálculos Daguao'!$L$68*(L109)*'Cálculos Daguao'!$P$68)/'Cálculos Daguao'!$R$69)</f>
        <v>8.7586184448000006E-4</v>
      </c>
      <c r="M116" s="519">
        <f>(('Cálculos Daguao'!$B$68*(M107)*'Cálculos Daguao'!$F$68)/'Cálculos Daguao'!$H$69)+(('Cálculos Daguao'!$L$68*(M109)*'Cálculos Daguao'!$P$68)/'Cálculos Daguao'!$R$69)</f>
        <v>5.6118135528000009E-4</v>
      </c>
      <c r="N116" s="519">
        <f>(('Cálculos Daguao'!$B$68*(N107)*'Cálculos Daguao'!$F$68)/'Cálculos Daguao'!$H$69)+(('Cálculos Daguao'!$L$68*(N109)*'Cálculos Daguao'!$P$68)/'Cálculos Daguao'!$R$69)</f>
        <v>3.3761868084000008E-4</v>
      </c>
      <c r="O116" s="533">
        <f t="shared" si="19"/>
        <v>6.3156383514000013E-3</v>
      </c>
    </row>
    <row r="117" spans="1:15" ht="21.75" customHeight="1" x14ac:dyDescent="0.2">
      <c r="A117" s="513" t="s">
        <v>24</v>
      </c>
      <c r="B117" s="513" t="s">
        <v>96</v>
      </c>
      <c r="C117" s="514">
        <f>('Cálculos Daguao'!$B$77*((C107))/'Cálculos Daguao'!$F$78)+('Cálculos Daguao'!$L$77*((C109))/'Cálculos Daguao'!$P$78)</f>
        <v>4125.4046049783456</v>
      </c>
      <c r="D117" s="514">
        <f>('Cálculos Daguao'!$B$77*((D107))/'Cálculos Daguao'!$F$78)+('Cálculos Daguao'!$L$77*((D109))/'Cálculos Daguao'!$P$78)</f>
        <v>4023.1690649320471</v>
      </c>
      <c r="E117" s="514">
        <f>('Cálculos Daguao'!$B$77*((E107))/'Cálculos Daguao'!$F$78)+('Cálculos Daguao'!$L$77*((E109))/'Cálculos Daguao'!$P$78)</f>
        <v>8275.5786404919781</v>
      </c>
      <c r="F117" s="514">
        <f>('Cálculos Daguao'!$B$77*((F107))/'Cálculos Daguao'!$F$78)+('Cálculos Daguao'!$L$77*((F109))/'Cálculos Daguao'!$P$78)</f>
        <v>9969.0604336974429</v>
      </c>
      <c r="G117" s="514">
        <f>('Cálculos Daguao'!$B$77*((G107))/'Cálculos Daguao'!$F$78)+('Cálculos Daguao'!$L$77*((G109))/'Cálculos Daguao'!$P$78)</f>
        <v>4203.525037118352</v>
      </c>
      <c r="H117" s="514">
        <f>('Cálculos Daguao'!$B$77*((H107))/'Cálculos Daguao'!$F$78)+('Cálculos Daguao'!$L$77*((H109))/'Cálculos Daguao'!$P$78)</f>
        <v>7013.8502115883366</v>
      </c>
      <c r="I117" s="514">
        <f>('Cálculos Daguao'!$B$77*((I107))/'Cálculos Daguao'!$F$78)+('Cálculos Daguao'!$L$77*((I109))/'Cálculos Daguao'!$P$78)</f>
        <v>4230.7837385248167</v>
      </c>
      <c r="J117" s="514">
        <f>('Cálculos Daguao'!$B$77*((J107))/'Cálculos Daguao'!$F$78)+('Cálculos Daguao'!$L$77*((J109))/'Cálculos Daguao'!$P$78)</f>
        <v>6989.5833766956121</v>
      </c>
      <c r="K117" s="514">
        <f>('Cálculos Daguao'!$B$77*((K107))/'Cálculos Daguao'!$F$78)+('Cálculos Daguao'!$L$77*((K109))/'Cálculos Daguao'!$P$78)</f>
        <v>4237.4075697763074</v>
      </c>
      <c r="L117" s="514">
        <f>('Cálculos Daguao'!$B$77*((L107))/'Cálculos Daguao'!$F$78)+('Cálculos Daguao'!$L$77*((L109))/'Cálculos Daguao'!$P$78)</f>
        <v>10235.805958784387</v>
      </c>
      <c r="M117" s="514">
        <f>('Cálculos Daguao'!$B$77*((M107))/'Cálculos Daguao'!$F$78)+('Cálculos Daguao'!$L$77*((M109))/'Cálculos Daguao'!$P$78)</f>
        <v>6558.2757104164366</v>
      </c>
      <c r="N117" s="514">
        <f>('Cálculos Daguao'!$B$77*((N107))/'Cálculos Daguao'!$F$78)+('Cálculos Daguao'!$L$77*((N109))/'Cálculos Daguao'!$P$78)</f>
        <v>3945.598643117863</v>
      </c>
      <c r="O117" s="532">
        <f t="shared" si="19"/>
        <v>73808.042990121932</v>
      </c>
    </row>
    <row r="118" spans="1:15" ht="31.5" customHeight="1" x14ac:dyDescent="0.2">
      <c r="A118" s="609" t="s">
        <v>49</v>
      </c>
      <c r="B118" s="609"/>
      <c r="C118" s="525"/>
      <c r="D118" s="525"/>
      <c r="E118" s="525"/>
      <c r="F118" s="525"/>
      <c r="G118" s="525"/>
      <c r="H118" s="525"/>
      <c r="I118" s="525"/>
      <c r="J118" s="525"/>
      <c r="K118" s="525"/>
      <c r="L118" s="525"/>
      <c r="M118" s="525"/>
      <c r="N118" s="525"/>
      <c r="O118" s="525"/>
    </row>
    <row r="119" spans="1:15" ht="21.75" hidden="1" customHeight="1" x14ac:dyDescent="0.2">
      <c r="A119" s="513" t="s">
        <v>415</v>
      </c>
      <c r="B119" s="513" t="s">
        <v>94</v>
      </c>
      <c r="C119" s="526">
        <f>Turbinas!$J$6*42</f>
        <v>0</v>
      </c>
      <c r="D119" s="526">
        <f>Turbinas!$J$7*42</f>
        <v>0</v>
      </c>
      <c r="E119" s="526">
        <f>Turbinas!$J$8*42</f>
        <v>0</v>
      </c>
      <c r="F119" s="526">
        <f>Turbinas!$J$9*42</f>
        <v>0</v>
      </c>
      <c r="G119" s="526">
        <f>Turbinas!$J$10*42</f>
        <v>0</v>
      </c>
      <c r="H119" s="526">
        <f>Turbinas!$J$11*42</f>
        <v>0</v>
      </c>
      <c r="I119" s="526">
        <f>Turbinas!$J$12*42</f>
        <v>0</v>
      </c>
      <c r="J119" s="526">
        <f>Turbinas!$J$13*42</f>
        <v>0</v>
      </c>
      <c r="K119" s="526">
        <f>Turbinas!$J$14*42</f>
        <v>0</v>
      </c>
      <c r="L119" s="526">
        <f>Turbinas!$J$15*42</f>
        <v>0</v>
      </c>
      <c r="M119" s="526">
        <f>Turbinas!$J$16*42</f>
        <v>0</v>
      </c>
      <c r="N119" s="526">
        <f>Turbinas!$J$17*42</f>
        <v>0</v>
      </c>
      <c r="O119" s="527">
        <f>SUM(C119:N119)</f>
        <v>0</v>
      </c>
    </row>
    <row r="120" spans="1:15" ht="21.75" hidden="1" customHeight="1" x14ac:dyDescent="0.2">
      <c r="A120" s="513" t="s">
        <v>416</v>
      </c>
      <c r="B120" s="513" t="s">
        <v>383</v>
      </c>
      <c r="C120" s="530">
        <f>Turbinas!$AE$6</f>
        <v>0.01</v>
      </c>
      <c r="D120" s="530">
        <f>Turbinas!$AE$7</f>
        <v>0.01</v>
      </c>
      <c r="E120" s="530">
        <f>Turbinas!$AE$8</f>
        <v>0.01</v>
      </c>
      <c r="F120" s="530">
        <f>Turbinas!$AE$9</f>
        <v>0.01</v>
      </c>
      <c r="G120" s="530">
        <f>Turbinas!$AE$10</f>
        <v>0.01</v>
      </c>
      <c r="H120" s="530">
        <f>Turbinas!$AE$11</f>
        <v>0.01</v>
      </c>
      <c r="I120" s="530">
        <f>Turbinas!$AE$12</f>
        <v>0.01</v>
      </c>
      <c r="J120" s="530">
        <f>Turbinas!$AE$13</f>
        <v>0.01</v>
      </c>
      <c r="K120" s="530">
        <f>Turbinas!$AE$14</f>
        <v>0.01</v>
      </c>
      <c r="L120" s="530">
        <f>Turbinas!$AE$15</f>
        <v>0.01</v>
      </c>
      <c r="M120" s="530">
        <f>Turbinas!$AE$16</f>
        <v>0.01</v>
      </c>
      <c r="N120" s="530">
        <f>Turbinas!$AE$17</f>
        <v>0.01</v>
      </c>
      <c r="O120" s="531">
        <f>IF(O119=0,0,SUMPRODUCT(C120:N120,C119:N119)/O119)</f>
        <v>0</v>
      </c>
    </row>
    <row r="121" spans="1:15" ht="21.75" hidden="1" customHeight="1" x14ac:dyDescent="0.2">
      <c r="A121" s="513" t="s">
        <v>405</v>
      </c>
      <c r="B121" s="513" t="s">
        <v>94</v>
      </c>
      <c r="C121" s="526">
        <f>Turbinas!$K$6*42</f>
        <v>178983</v>
      </c>
      <c r="D121" s="526">
        <f>Turbinas!$K$7*42</f>
        <v>126033.18</v>
      </c>
      <c r="E121" s="526">
        <f>Turbinas!$K$8*42</f>
        <v>298599</v>
      </c>
      <c r="F121" s="526">
        <f>Turbinas!$K$9*42</f>
        <v>383832.12</v>
      </c>
      <c r="G121" s="526">
        <f>Turbinas!$K$10*42</f>
        <v>159124.98000000001</v>
      </c>
      <c r="H121" s="526">
        <f>Turbinas!$K$11*42</f>
        <v>225537.06</v>
      </c>
      <c r="I121" s="526">
        <f>Turbinas!$K$12*42</f>
        <v>213365.88</v>
      </c>
      <c r="J121" s="526">
        <f>Turbinas!$K$13*42</f>
        <v>306688.2</v>
      </c>
      <c r="K121" s="526">
        <f>Turbinas!$K$14*42</f>
        <v>123566.1</v>
      </c>
      <c r="L121" s="526">
        <f>Turbinas!$K$15*42</f>
        <v>410912.88</v>
      </c>
      <c r="M121" s="526">
        <f>Turbinas!$K$16*42</f>
        <v>338642.64</v>
      </c>
      <c r="N121" s="526">
        <f>Turbinas!$K$17*42</f>
        <v>185982.72</v>
      </c>
      <c r="O121" s="527">
        <f>SUM(C121:N121)</f>
        <v>2951267.7600000007</v>
      </c>
    </row>
    <row r="122" spans="1:15" ht="21.75" hidden="1" customHeight="1" x14ac:dyDescent="0.2">
      <c r="A122" s="513" t="s">
        <v>417</v>
      </c>
      <c r="B122" s="513" t="s">
        <v>383</v>
      </c>
      <c r="C122" s="530">
        <f>Turbinas!$AF$6</f>
        <v>0.01</v>
      </c>
      <c r="D122" s="530">
        <f>Turbinas!$AF$7</f>
        <v>0.01</v>
      </c>
      <c r="E122" s="530">
        <f>Turbinas!$AF$8</f>
        <v>0.01</v>
      </c>
      <c r="F122" s="530">
        <f>Turbinas!$AF$9</f>
        <v>0.01</v>
      </c>
      <c r="G122" s="530">
        <f>Turbinas!$AF$10</f>
        <v>0.01</v>
      </c>
      <c r="H122" s="530">
        <f>Turbinas!$AF$11</f>
        <v>0.01</v>
      </c>
      <c r="I122" s="530">
        <f>Turbinas!$AF$12</f>
        <v>0.01</v>
      </c>
      <c r="J122" s="530">
        <f>Turbinas!$AF$13</f>
        <v>0.01</v>
      </c>
      <c r="K122" s="530">
        <f>Turbinas!$AF$14</f>
        <v>0.01</v>
      </c>
      <c r="L122" s="530">
        <f>Turbinas!$AF$15</f>
        <v>0.01</v>
      </c>
      <c r="M122" s="530">
        <f>Turbinas!$AF$16</f>
        <v>0.01</v>
      </c>
      <c r="N122" s="530">
        <f>Turbinas!$AF$17</f>
        <v>0.01</v>
      </c>
      <c r="O122" s="531">
        <f>IF(O121=0,0,SUMPRODUCT(C122:N122,C121:N121)/O121)</f>
        <v>9.9999999999999967E-3</v>
      </c>
    </row>
    <row r="123" spans="1:15" ht="21.75" customHeight="1" x14ac:dyDescent="0.2">
      <c r="A123" s="513" t="s">
        <v>17</v>
      </c>
      <c r="B123" s="513" t="s">
        <v>96</v>
      </c>
      <c r="C123" s="514">
        <f>(('Cálculos Yabucoa'!$B$19*(C119)*'Cálculos Yabucoa'!$F$19)/'Cálculos Yabucoa'!$H$20)+(('Cálculos Yabucoa'!$L$19*(C121)*'Cálculos Yabucoa'!$P$19)/'Cálculos Yabucoa'!$R$20)</f>
        <v>0.14819792400000001</v>
      </c>
      <c r="D123" s="514">
        <f>(('Cálculos Yabucoa'!$B$19*(D119)*'Cálculos Yabucoa'!$F$19)/'Cálculos Yabucoa'!$H$20)+(('Cálculos Yabucoa'!$L$19*(D121)*'Cálculos Yabucoa'!$P$19)/'Cálculos Yabucoa'!$R$20)</f>
        <v>0.10435547304000001</v>
      </c>
      <c r="E123" s="514">
        <f>(('Cálculos Yabucoa'!$B$19*(E119)*'Cálculos Yabucoa'!$F$19)/'Cálculos Yabucoa'!$H$20)+(('Cálculos Yabucoa'!$L$19*(E121)*'Cálculos Yabucoa'!$P$19)/'Cálculos Yabucoa'!$R$20)</f>
        <v>0.24723997200000003</v>
      </c>
      <c r="F123" s="514">
        <f>(('Cálculos Yabucoa'!$B$19*(F119)*'Cálculos Yabucoa'!$F$19)/'Cálculos Yabucoa'!$H$20)+(('Cálculos Yabucoa'!$L$19*(F121)*'Cálculos Yabucoa'!$P$19)/'Cálculos Yabucoa'!$R$20)</f>
        <v>0.31781299536000007</v>
      </c>
      <c r="G123" s="514">
        <f>(('Cálculos Yabucoa'!$B$19*(G119)*'Cálculos Yabucoa'!$F$19)/'Cálculos Yabucoa'!$H$20)+(('Cálculos Yabucoa'!$L$19*(G121)*'Cálculos Yabucoa'!$P$19)/'Cálculos Yabucoa'!$R$20)</f>
        <v>0.13175548344000004</v>
      </c>
      <c r="H123" s="514">
        <f>(('Cálculos Yabucoa'!$B$19*(H119)*'Cálculos Yabucoa'!$F$19)/'Cálculos Yabucoa'!$H$20)+(('Cálculos Yabucoa'!$L$19*(H121)*'Cálculos Yabucoa'!$P$19)/'Cálculos Yabucoa'!$R$20)</f>
        <v>0.18674468567999999</v>
      </c>
      <c r="I123" s="514">
        <f>(('Cálculos Yabucoa'!$B$19*(I119)*'Cálculos Yabucoa'!$F$19)/'Cálculos Yabucoa'!$H$20)+(('Cálculos Yabucoa'!$L$19*(I121)*'Cálculos Yabucoa'!$P$19)/'Cálculos Yabucoa'!$R$20)</f>
        <v>0.17666694864000004</v>
      </c>
      <c r="J123" s="514">
        <f>(('Cálculos Yabucoa'!$B$19*(J119)*'Cálculos Yabucoa'!$F$19)/'Cálculos Yabucoa'!$H$20)+(('Cálculos Yabucoa'!$L$19*(J121)*'Cálculos Yabucoa'!$P$19)/'Cálculos Yabucoa'!$R$20)</f>
        <v>0.25393782960000005</v>
      </c>
      <c r="K123" s="514">
        <f>(('Cálculos Yabucoa'!$B$19*(K119)*'Cálculos Yabucoa'!$F$19)/'Cálculos Yabucoa'!$H$20)+(('Cálculos Yabucoa'!$L$19*(K121)*'Cálculos Yabucoa'!$P$19)/'Cálculos Yabucoa'!$R$20)</f>
        <v>0.10231273080000002</v>
      </c>
      <c r="L123" s="514">
        <f>(('Cálculos Yabucoa'!$B$19*(L119)*'Cálculos Yabucoa'!$F$19)/'Cálculos Yabucoa'!$H$20)+(('Cálculos Yabucoa'!$L$19*(L121)*'Cálculos Yabucoa'!$P$19)/'Cálculos Yabucoa'!$R$20)</f>
        <v>0.34023586464000005</v>
      </c>
      <c r="M123" s="514">
        <f>(('Cálculos Yabucoa'!$B$19*(M119)*'Cálculos Yabucoa'!$F$19)/'Cálculos Yabucoa'!$H$20)+(('Cálculos Yabucoa'!$L$19*(M121)*'Cálculos Yabucoa'!$P$19)/'Cálculos Yabucoa'!$R$20)</f>
        <v>0.28039610592000003</v>
      </c>
      <c r="N123" s="514">
        <f>(('Cálculos Yabucoa'!$B$19*(N119)*'Cálculos Yabucoa'!$F$19)/'Cálculos Yabucoa'!$H$20)+(('Cálculos Yabucoa'!$L$19*(N121)*'Cálculos Yabucoa'!$P$19)/'Cálculos Yabucoa'!$R$20)</f>
        <v>0.15399369216000003</v>
      </c>
      <c r="O123" s="532">
        <f t="shared" ref="O123:O129" si="20">SUM(C123:N123)</f>
        <v>2.4436497052800004</v>
      </c>
    </row>
    <row r="124" spans="1:15" ht="21.75" customHeight="1" x14ac:dyDescent="0.2">
      <c r="A124" s="513" t="s">
        <v>377</v>
      </c>
      <c r="B124" s="513" t="s">
        <v>96</v>
      </c>
      <c r="C124" s="514">
        <f>(((('Cálculos Yabucoa'!$B$6*C120))*(C119)*'Cálculos Yabucoa'!$F$27)/'Cálculos Yabucoa'!$H$28)+((('Cálculos Yabucoa'!$L$6*C122)*(C121)*'Cálculos Yabucoa'!$P$27)/'Cálculos Yabucoa'!$R$28)</f>
        <v>0.12473325270000001</v>
      </c>
      <c r="D124" s="514">
        <f>(((('Cálculos Yabucoa'!$B$6*D120))*(D119)*'Cálculos Yabucoa'!$F$27)/'Cálculos Yabucoa'!$H$28)+((('Cálculos Yabucoa'!$L$6*D122)*(D121)*'Cálculos Yabucoa'!$P$27)/'Cálculos Yabucoa'!$R$28)</f>
        <v>8.7832523142000005E-2</v>
      </c>
      <c r="E124" s="514">
        <f>(((('Cálculos Yabucoa'!$B$6*E120))*(E119)*'Cálculos Yabucoa'!$F$27)/'Cálculos Yabucoa'!$H$28)+((('Cálculos Yabucoa'!$L$6*E122)*(E121)*'Cálculos Yabucoa'!$P$27)/'Cálculos Yabucoa'!$R$28)</f>
        <v>0.2080936431</v>
      </c>
      <c r="F124" s="514">
        <f>(((('Cálculos Yabucoa'!$B$6*F120))*(F119)*'Cálculos Yabucoa'!$F$27)/'Cálculos Yabucoa'!$H$28)+((('Cálculos Yabucoa'!$L$6*F122)*(F121)*'Cálculos Yabucoa'!$P$27)/'Cálculos Yabucoa'!$R$28)</f>
        <v>0.26749260442799999</v>
      </c>
      <c r="G124" s="514">
        <f>(((('Cálculos Yabucoa'!$B$6*G120))*(G119)*'Cálculos Yabucoa'!$F$27)/'Cálculos Yabucoa'!$H$28)+((('Cálculos Yabucoa'!$L$6*G122)*(G121)*'Cálculos Yabucoa'!$P$27)/'Cálculos Yabucoa'!$R$28)</f>
        <v>0.11089419856200002</v>
      </c>
      <c r="H124" s="514">
        <f>(((('Cálculos Yabucoa'!$B$6*H120))*(H119)*'Cálculos Yabucoa'!$F$27)/'Cálculos Yabucoa'!$H$28)+((('Cálculos Yabucoa'!$L$6*H122)*(H121)*'Cálculos Yabucoa'!$P$27)/'Cálculos Yabucoa'!$R$28)</f>
        <v>0.15717677711399999</v>
      </c>
      <c r="I124" s="514">
        <f>(((('Cálculos Yabucoa'!$B$6*I120))*(I119)*'Cálculos Yabucoa'!$F$27)/'Cálculos Yabucoa'!$H$28)+((('Cálculos Yabucoa'!$L$6*I122)*(I121)*'Cálculos Yabucoa'!$P$27)/'Cálculos Yabucoa'!$R$28)</f>
        <v>0.14869468177199999</v>
      </c>
      <c r="J124" s="514">
        <f>(((('Cálculos Yabucoa'!$B$6*J120))*(J119)*'Cálculos Yabucoa'!$F$27)/'Cálculos Yabucoa'!$H$28)+((('Cálculos Yabucoa'!$L$6*J122)*(J121)*'Cálculos Yabucoa'!$P$27)/'Cálculos Yabucoa'!$R$28)</f>
        <v>0.21373100658000002</v>
      </c>
      <c r="K124" s="514">
        <f>(((('Cálculos Yabucoa'!$B$6*K120))*(K119)*'Cálculos Yabucoa'!$F$27)/'Cálculos Yabucoa'!$H$28)+((('Cálculos Yabucoa'!$L$6*K122)*(K121)*'Cálculos Yabucoa'!$P$27)/'Cálculos Yabucoa'!$R$28)</f>
        <v>8.6113215090000014E-2</v>
      </c>
      <c r="L124" s="514">
        <f>(((('Cálculos Yabucoa'!$B$6*L120))*(L119)*'Cálculos Yabucoa'!$F$27)/'Cálculos Yabucoa'!$H$28)+((('Cálculos Yabucoa'!$L$6*L122)*(L121)*'Cálculos Yabucoa'!$P$27)/'Cálculos Yabucoa'!$R$28)</f>
        <v>0.28636518607200001</v>
      </c>
      <c r="M124" s="514">
        <f>(((('Cálculos Yabucoa'!$B$6*M120))*(M119)*'Cálculos Yabucoa'!$F$27)/'Cálculos Yabucoa'!$H$28)+((('Cálculos Yabucoa'!$L$6*M122)*(M121)*'Cálculos Yabucoa'!$P$27)/'Cálculos Yabucoa'!$R$28)</f>
        <v>0.236000055816</v>
      </c>
      <c r="N124" s="514">
        <f>(((('Cálculos Yabucoa'!$B$6*N120))*(N119)*'Cálculos Yabucoa'!$F$27)/'Cálculos Yabucoa'!$H$28)+((('Cálculos Yabucoa'!$L$6*N122)*(N121)*'Cálculos Yabucoa'!$P$27)/'Cálculos Yabucoa'!$R$28)</f>
        <v>0.12961135756800002</v>
      </c>
      <c r="O124" s="532">
        <f t="shared" si="20"/>
        <v>2.0567385019440003</v>
      </c>
    </row>
    <row r="125" spans="1:15" ht="21.75" customHeight="1" x14ac:dyDescent="0.2">
      <c r="A125" s="513" t="s">
        <v>20</v>
      </c>
      <c r="B125" s="513" t="s">
        <v>96</v>
      </c>
      <c r="C125" s="514">
        <f>(('Cálculos Yabucoa'!$B$37*(C119)*'Cálculos Yabucoa'!$F$37)/'Cálculos Yabucoa'!$H$38)+(('Cálculos Yabucoa'!$L$37*(C121)*'Cálculos Yabucoa'!$P$37)/'Cálculos Yabucoa'!$R$38)</f>
        <v>10.86784776</v>
      </c>
      <c r="D125" s="514">
        <f>(('Cálculos Yabucoa'!$B$37*(D119)*'Cálculos Yabucoa'!$F$37)/'Cálculos Yabucoa'!$H$38)+(('Cálculos Yabucoa'!$L$37*(D121)*'Cálculos Yabucoa'!$P$37)/'Cálculos Yabucoa'!$R$38)</f>
        <v>7.6527346895999999</v>
      </c>
      <c r="E125" s="514">
        <f>(('Cálculos Yabucoa'!$B$37*(E119)*'Cálculos Yabucoa'!$F$37)/'Cálculos Yabucoa'!$H$38)+(('Cálculos Yabucoa'!$L$37*(E121)*'Cálculos Yabucoa'!$P$37)/'Cálculos Yabucoa'!$R$38)</f>
        <v>18.130931280000002</v>
      </c>
      <c r="F125" s="514">
        <f>(('Cálculos Yabucoa'!$B$37*(F119)*'Cálculos Yabucoa'!$F$37)/'Cálculos Yabucoa'!$H$38)+(('Cálculos Yabucoa'!$L$37*(F121)*'Cálculos Yabucoa'!$P$37)/'Cálculos Yabucoa'!$R$38)</f>
        <v>23.306286326400002</v>
      </c>
      <c r="G125" s="514">
        <f>(('Cálculos Yabucoa'!$B$37*(G119)*'Cálculos Yabucoa'!$F$37)/'Cálculos Yabucoa'!$H$38)+(('Cálculos Yabucoa'!$L$37*(G121)*'Cálculos Yabucoa'!$P$37)/'Cálculos Yabucoa'!$R$38)</f>
        <v>9.6620687856000025</v>
      </c>
      <c r="H125" s="514">
        <f>(('Cálculos Yabucoa'!$B$37*(H119)*'Cálculos Yabucoa'!$F$37)/'Cálculos Yabucoa'!$H$38)+(('Cálculos Yabucoa'!$L$37*(H121)*'Cálculos Yabucoa'!$P$37)/'Cálculos Yabucoa'!$R$38)</f>
        <v>13.694610283200001</v>
      </c>
      <c r="I125" s="514">
        <f>(('Cálculos Yabucoa'!$B$37*(I119)*'Cálculos Yabucoa'!$F$37)/'Cálculos Yabucoa'!$H$38)+(('Cálculos Yabucoa'!$L$37*(I121)*'Cálculos Yabucoa'!$P$37)/'Cálculos Yabucoa'!$R$38)</f>
        <v>12.9555762336</v>
      </c>
      <c r="J125" s="514">
        <f>(('Cálculos Yabucoa'!$B$37*(J119)*'Cálculos Yabucoa'!$F$37)/'Cálculos Yabucoa'!$H$38)+(('Cálculos Yabucoa'!$L$37*(J121)*'Cálculos Yabucoa'!$P$37)/'Cálculos Yabucoa'!$R$38)</f>
        <v>18.622107504000002</v>
      </c>
      <c r="K125" s="514">
        <f>(('Cálculos Yabucoa'!$B$37*(K119)*'Cálculos Yabucoa'!$F$37)/'Cálculos Yabucoa'!$H$38)+(('Cálculos Yabucoa'!$L$37*(K121)*'Cálculos Yabucoa'!$P$37)/'Cálculos Yabucoa'!$R$38)</f>
        <v>7.5029335920000015</v>
      </c>
      <c r="L125" s="514">
        <f>(('Cálculos Yabucoa'!$B$37*(L119)*'Cálculos Yabucoa'!$F$37)/'Cálculos Yabucoa'!$H$38)+(('Cálculos Yabucoa'!$L$37*(L121)*'Cálculos Yabucoa'!$P$37)/'Cálculos Yabucoa'!$R$38)</f>
        <v>24.950630073600003</v>
      </c>
      <c r="M125" s="514">
        <f>(('Cálculos Yabucoa'!$B$37*(M119)*'Cálculos Yabucoa'!$F$37)/'Cálculos Yabucoa'!$H$38)+(('Cálculos Yabucoa'!$L$37*(M121)*'Cálculos Yabucoa'!$P$37)/'Cálculos Yabucoa'!$R$38)</f>
        <v>20.5623811008</v>
      </c>
      <c r="N125" s="514">
        <f>(('Cálculos Yabucoa'!$B$37*(N119)*'Cálculos Yabucoa'!$F$37)/'Cálculos Yabucoa'!$H$38)+(('Cálculos Yabucoa'!$L$37*(N121)*'Cálculos Yabucoa'!$P$37)/'Cálculos Yabucoa'!$R$38)</f>
        <v>11.292870758400003</v>
      </c>
      <c r="O125" s="532">
        <f t="shared" si="20"/>
        <v>179.2009783872</v>
      </c>
    </row>
    <row r="126" spans="1:15" ht="21.75" customHeight="1" x14ac:dyDescent="0.2">
      <c r="A126" s="513" t="s">
        <v>22</v>
      </c>
      <c r="B126" s="513" t="s">
        <v>96</v>
      </c>
      <c r="C126" s="514">
        <f>(('Cálculos Yabucoa'!$B$45*(C119)*'Cálculos Yabucoa'!$F$45)/'Cálculos Yabucoa'!$H$46)+(('Cálculos Yabucoa'!$L$45*(C121)*'Cálculos Yabucoa'!$P$45)/'Cálculos Yabucoa'!$R$46)</f>
        <v>5.063429070000001E-3</v>
      </c>
      <c r="D126" s="514">
        <f>(('Cálculos Yabucoa'!$B$45*(D119)*'Cálculos Yabucoa'!$F$45)/'Cálculos Yabucoa'!$H$46)+(('Cálculos Yabucoa'!$L$45*(D121)*'Cálculos Yabucoa'!$P$45)/'Cálculos Yabucoa'!$R$46)</f>
        <v>3.5654786621999997E-3</v>
      </c>
      <c r="E126" s="514">
        <f>(('Cálculos Yabucoa'!$B$45*(E119)*'Cálculos Yabucoa'!$F$45)/'Cálculos Yabucoa'!$H$46)+(('Cálculos Yabucoa'!$L$45*(E121)*'Cálculos Yabucoa'!$P$45)/'Cálculos Yabucoa'!$R$46)</f>
        <v>8.4473657100000016E-3</v>
      </c>
      <c r="F126" s="514">
        <f>(('Cálculos Yabucoa'!$B$45*(F119)*'Cálculos Yabucoa'!$F$45)/'Cálculos Yabucoa'!$H$46)+(('Cálculos Yabucoa'!$L$45*(F121)*'Cálculos Yabucoa'!$P$45)/'Cálculos Yabucoa'!$R$46)</f>
        <v>1.0858610674800002E-2</v>
      </c>
      <c r="G126" s="514">
        <f>(('Cálculos Yabucoa'!$B$45*(G119)*'Cálculos Yabucoa'!$F$45)/'Cálculos Yabucoa'!$H$46)+(('Cálculos Yabucoa'!$L$45*(G121)*'Cálculos Yabucoa'!$P$45)/'Cálculos Yabucoa'!$R$46)</f>
        <v>4.5016456842000008E-3</v>
      </c>
      <c r="H126" s="514">
        <f>(('Cálculos Yabucoa'!$B$45*(H119)*'Cálculos Yabucoa'!$F$45)/'Cálculos Yabucoa'!$H$46)+(('Cálculos Yabucoa'!$L$45*(H121)*'Cálculos Yabucoa'!$P$45)/'Cálculos Yabucoa'!$R$46)</f>
        <v>6.3804434274000003E-3</v>
      </c>
      <c r="I126" s="514">
        <f>(('Cálculos Yabucoa'!$B$45*(I119)*'Cálculos Yabucoa'!$F$45)/'Cálculos Yabucoa'!$H$46)+(('Cálculos Yabucoa'!$L$45*(I121)*'Cálculos Yabucoa'!$P$45)/'Cálculos Yabucoa'!$R$46)</f>
        <v>6.0361207452000005E-3</v>
      </c>
      <c r="J126" s="514">
        <f>(('Cálculos Yabucoa'!$B$45*(J119)*'Cálculos Yabucoa'!$F$45)/'Cálculos Yabucoa'!$H$46)+(('Cálculos Yabucoa'!$L$45*(J121)*'Cálculos Yabucoa'!$P$45)/'Cálculos Yabucoa'!$R$46)</f>
        <v>8.6762091780000009E-3</v>
      </c>
      <c r="K126" s="514">
        <f>(('Cálculos Yabucoa'!$B$45*(K119)*'Cálculos Yabucoa'!$F$45)/'Cálculos Yabucoa'!$H$46)+(('Cálculos Yabucoa'!$L$45*(K121)*'Cálculos Yabucoa'!$P$45)/'Cálculos Yabucoa'!$R$46)</f>
        <v>3.4956849690000007E-3</v>
      </c>
      <c r="L126" s="514">
        <f>(('Cálculos Yabucoa'!$B$45*(L119)*'Cálculos Yabucoa'!$F$45)/'Cálculos Yabucoa'!$H$46)+(('Cálculos Yabucoa'!$L$45*(L121)*'Cálculos Yabucoa'!$P$45)/'Cálculos Yabucoa'!$R$46)</f>
        <v>1.16247253752E-2</v>
      </c>
      <c r="M126" s="514">
        <f>(('Cálculos Yabucoa'!$B$45*(M119)*'Cálculos Yabucoa'!$F$45)/'Cálculos Yabucoa'!$H$46)+(('Cálculos Yabucoa'!$L$45*(M121)*'Cálculos Yabucoa'!$P$45)/'Cálculos Yabucoa'!$R$46)</f>
        <v>9.5802002856000008E-3</v>
      </c>
      <c r="N126" s="514">
        <f>(('Cálculos Yabucoa'!$B$45*(N119)*'Cálculos Yabucoa'!$F$45)/'Cálculos Yabucoa'!$H$46)+(('Cálculos Yabucoa'!$L$45*(N121)*'Cálculos Yabucoa'!$P$45)/'Cálculos Yabucoa'!$R$46)</f>
        <v>5.2614511488000013E-3</v>
      </c>
      <c r="O126" s="532">
        <f t="shared" si="20"/>
        <v>8.3491364930400006E-2</v>
      </c>
    </row>
    <row r="127" spans="1:15" ht="21.75" customHeight="1" x14ac:dyDescent="0.2">
      <c r="A127" s="513" t="s">
        <v>21</v>
      </c>
      <c r="B127" s="513" t="s">
        <v>96</v>
      </c>
      <c r="C127" s="514">
        <f>(('Cálculos Yabucoa'!$B$53*(C119)*'Cálculos Yabucoa'!$F$53)/'Cálculos Yabucoa'!$H$54)+(('Cálculos Yabucoa'!$L$53*(C121)*'Cálculos Yabucoa'!$P$53)/'Cálculos Yabucoa'!$R$54)</f>
        <v>4.0754429100000003E-2</v>
      </c>
      <c r="D127" s="514">
        <f>(('Cálculos Yabucoa'!$B$53*(D119)*'Cálculos Yabucoa'!$F$53)/'Cálculos Yabucoa'!$H$54)+(('Cálculos Yabucoa'!$L$53*(D121)*'Cálculos Yabucoa'!$P$53)/'Cálculos Yabucoa'!$R$54)</f>
        <v>2.8697755086000001E-2</v>
      </c>
      <c r="E127" s="514">
        <f>(('Cálculos Yabucoa'!$B$53*(E119)*'Cálculos Yabucoa'!$F$53)/'Cálculos Yabucoa'!$H$54)+(('Cálculos Yabucoa'!$L$53*(E121)*'Cálculos Yabucoa'!$P$53)/'Cálculos Yabucoa'!$R$54)</f>
        <v>6.7990992299999997E-2</v>
      </c>
      <c r="F127" s="514">
        <f>(('Cálculos Yabucoa'!$B$53*(F119)*'Cálculos Yabucoa'!$F$53)/'Cálculos Yabucoa'!$H$54)+(('Cálculos Yabucoa'!$L$53*(F121)*'Cálculos Yabucoa'!$P$53)/'Cálculos Yabucoa'!$R$54)</f>
        <v>8.7398573724000006E-2</v>
      </c>
      <c r="G127" s="514">
        <f>(('Cálculos Yabucoa'!$B$53*(G119)*'Cálculos Yabucoa'!$F$53)/'Cálculos Yabucoa'!$H$54)+(('Cálculos Yabucoa'!$L$53*(G121)*'Cálculos Yabucoa'!$P$53)/'Cálculos Yabucoa'!$R$54)</f>
        <v>3.6232757946000005E-2</v>
      </c>
      <c r="H127" s="514">
        <f>(('Cálculos Yabucoa'!$B$53*(H119)*'Cálculos Yabucoa'!$F$53)/'Cálculos Yabucoa'!$H$54)+(('Cálculos Yabucoa'!$L$53*(H121)*'Cálculos Yabucoa'!$P$53)/'Cálculos Yabucoa'!$R$54)</f>
        <v>5.1354788562000001E-2</v>
      </c>
      <c r="I127" s="514">
        <f>(('Cálculos Yabucoa'!$B$53*(I119)*'Cálculos Yabucoa'!$F$53)/'Cálculos Yabucoa'!$H$54)+(('Cálculos Yabucoa'!$L$53*(I121)*'Cálculos Yabucoa'!$P$53)/'Cálculos Yabucoa'!$R$54)</f>
        <v>4.8583410876000002E-2</v>
      </c>
      <c r="J127" s="514">
        <f>(('Cálculos Yabucoa'!$B$53*(J119)*'Cálculos Yabucoa'!$F$53)/'Cálculos Yabucoa'!$H$54)+(('Cálculos Yabucoa'!$L$53*(J121)*'Cálculos Yabucoa'!$P$53)/'Cálculos Yabucoa'!$R$54)</f>
        <v>6.9832903139999999E-2</v>
      </c>
      <c r="K127" s="514">
        <f>(('Cálculos Yabucoa'!$B$53*(K119)*'Cálculos Yabucoa'!$F$53)/'Cálculos Yabucoa'!$H$54)+(('Cálculos Yabucoa'!$L$53*(K121)*'Cálculos Yabucoa'!$P$53)/'Cálculos Yabucoa'!$R$54)</f>
        <v>2.8136000970000005E-2</v>
      </c>
      <c r="L127" s="514">
        <f>(('Cálculos Yabucoa'!$B$53*(L119)*'Cálculos Yabucoa'!$F$53)/'Cálculos Yabucoa'!$H$54)+(('Cálculos Yabucoa'!$L$53*(L121)*'Cálculos Yabucoa'!$P$53)/'Cálculos Yabucoa'!$R$54)</f>
        <v>9.3564862776000013E-2</v>
      </c>
      <c r="M127" s="514">
        <f>(('Cálculos Yabucoa'!$B$53*(M119)*'Cálculos Yabucoa'!$F$53)/'Cálculos Yabucoa'!$H$54)+(('Cálculos Yabucoa'!$L$53*(M121)*'Cálculos Yabucoa'!$P$53)/'Cálculos Yabucoa'!$R$54)</f>
        <v>7.7108929128000006E-2</v>
      </c>
      <c r="N127" s="514">
        <f>(('Cálculos Yabucoa'!$B$53*(N119)*'Cálculos Yabucoa'!$F$53)/'Cálculos Yabucoa'!$H$54)+(('Cálculos Yabucoa'!$L$53*(N121)*'Cálculos Yabucoa'!$P$53)/'Cálculos Yabucoa'!$R$54)</f>
        <v>4.2348265344000005E-2</v>
      </c>
      <c r="O127" s="532">
        <f t="shared" si="20"/>
        <v>0.67200366895200014</v>
      </c>
    </row>
    <row r="128" spans="1:15" ht="21.75" customHeight="1" x14ac:dyDescent="0.2">
      <c r="A128" s="513" t="s">
        <v>23</v>
      </c>
      <c r="B128" s="513" t="s">
        <v>96</v>
      </c>
      <c r="C128" s="519">
        <f>(('Cálculos Yabucoa'!$B$61*(C119)*'Cálculos Yabucoa'!$F$61)/'Cálculos Yabucoa'!$H$62)+(('Cálculos Yabucoa'!$L$61*(C121)*'Cálculos Yabucoa'!$P$61)/'Cálculos Yabucoa'!$R$62)</f>
        <v>1.72897578E-4</v>
      </c>
      <c r="D128" s="519">
        <f>(('Cálculos Yabucoa'!$B$61*(D119)*'Cálculos Yabucoa'!$F$61)/'Cálculos Yabucoa'!$H$62)+(('Cálculos Yabucoa'!$L$61*(D121)*'Cálculos Yabucoa'!$P$61)/'Cálculos Yabucoa'!$R$62)</f>
        <v>1.2174805188000001E-4</v>
      </c>
      <c r="E128" s="519">
        <f>(('Cálculos Yabucoa'!$B$61*(E119)*'Cálculos Yabucoa'!$F$61)/'Cálculos Yabucoa'!$H$62)+(('Cálculos Yabucoa'!$L$61*(E121)*'Cálculos Yabucoa'!$P$61)/'Cálculos Yabucoa'!$R$62)</f>
        <v>2.8844663400000005E-4</v>
      </c>
      <c r="F128" s="519">
        <f>(('Cálculos Yabucoa'!$B$61*(F119)*'Cálculos Yabucoa'!$F$61)/'Cálculos Yabucoa'!$H$62)+(('Cálculos Yabucoa'!$L$61*(F121)*'Cálculos Yabucoa'!$P$61)/'Cálculos Yabucoa'!$R$62)</f>
        <v>3.7078182792000001E-4</v>
      </c>
      <c r="G128" s="519">
        <f>(('Cálculos Yabucoa'!$B$61*(G119)*'Cálculos Yabucoa'!$F$61)/'Cálculos Yabucoa'!$H$62)+(('Cálculos Yabucoa'!$L$61*(G121)*'Cálculos Yabucoa'!$P$61)/'Cálculos Yabucoa'!$R$62)</f>
        <v>1.5371473068000001E-4</v>
      </c>
      <c r="H128" s="519">
        <f>(('Cálculos Yabucoa'!$B$61*(H119)*'Cálculos Yabucoa'!$F$61)/'Cálculos Yabucoa'!$H$62)+(('Cálculos Yabucoa'!$L$61*(H121)*'Cálculos Yabucoa'!$P$61)/'Cálculos Yabucoa'!$R$62)</f>
        <v>2.1786879996000001E-4</v>
      </c>
      <c r="I128" s="519">
        <f>(('Cálculos Yabucoa'!$B$61*(I119)*'Cálculos Yabucoa'!$F$61)/'Cálculos Yabucoa'!$H$62)+(('Cálculos Yabucoa'!$L$61*(I121)*'Cálculos Yabucoa'!$P$61)/'Cálculos Yabucoa'!$R$62)</f>
        <v>2.0611144008000001E-4</v>
      </c>
      <c r="J128" s="519">
        <f>(('Cálculos Yabucoa'!$B$61*(J119)*'Cálculos Yabucoa'!$F$61)/'Cálculos Yabucoa'!$H$62)+(('Cálculos Yabucoa'!$L$61*(J121)*'Cálculos Yabucoa'!$P$61)/'Cálculos Yabucoa'!$R$62)</f>
        <v>2.9626080120000002E-4</v>
      </c>
      <c r="K128" s="519">
        <f>(('Cálculos Yabucoa'!$B$61*(K119)*'Cálculos Yabucoa'!$F$61)/'Cálculos Yabucoa'!$H$62)+(('Cálculos Yabucoa'!$L$61*(K121)*'Cálculos Yabucoa'!$P$61)/'Cálculos Yabucoa'!$R$62)</f>
        <v>1.193648526E-4</v>
      </c>
      <c r="L128" s="519">
        <f>(('Cálculos Yabucoa'!$B$61*(L119)*'Cálculos Yabucoa'!$F$61)/'Cálculos Yabucoa'!$H$62)+(('Cálculos Yabucoa'!$L$61*(L121)*'Cálculos Yabucoa'!$P$61)/'Cálculos Yabucoa'!$R$62)</f>
        <v>3.9694184208000007E-4</v>
      </c>
      <c r="M128" s="519">
        <f>(('Cálculos Yabucoa'!$B$61*(M119)*'Cálculos Yabucoa'!$F$61)/'Cálculos Yabucoa'!$H$62)+(('Cálculos Yabucoa'!$L$61*(M121)*'Cálculos Yabucoa'!$P$61)/'Cálculos Yabucoa'!$R$62)</f>
        <v>3.2712879024000005E-4</v>
      </c>
      <c r="N128" s="519">
        <f>(('Cálculos Yabucoa'!$B$61*(N119)*'Cálculos Yabucoa'!$F$61)/'Cálculos Yabucoa'!$H$62)+(('Cálculos Yabucoa'!$L$61*(N121)*'Cálculos Yabucoa'!$P$61)/'Cálculos Yabucoa'!$R$62)</f>
        <v>1.7965930752000001E-4</v>
      </c>
      <c r="O128" s="533">
        <f t="shared" si="20"/>
        <v>2.8509246561599999E-3</v>
      </c>
    </row>
    <row r="129" spans="1:15" ht="21.75" customHeight="1" x14ac:dyDescent="0.2">
      <c r="A129" s="513" t="s">
        <v>24</v>
      </c>
      <c r="B129" s="513" t="s">
        <v>96</v>
      </c>
      <c r="C129" s="514">
        <f>('Cálculos Yabucoa'!$B$71*((C119))/'Cálculos Yabucoa'!$F$72)+('Cálculos Yabucoa'!$L$71*((C121))/'Cálculos Yabucoa'!$P$72)</f>
        <v>2020.5767271463781</v>
      </c>
      <c r="D129" s="514">
        <f>('Cálculos Yabucoa'!$B$71*((D119))/'Cálculos Yabucoa'!$F$72)+('Cálculos Yabucoa'!$L$71*((D121))/'Cálculos Yabucoa'!$P$72)</f>
        <v>1422.8150738128779</v>
      </c>
      <c r="E129" s="514">
        <f>('Cálculos Yabucoa'!$B$71*((E119))/'Cálculos Yabucoa'!$F$72)+('Cálculos Yabucoa'!$L$71*((E121))/'Cálculos Yabucoa'!$P$72)</f>
        <v>3370.9469064055324</v>
      </c>
      <c r="F129" s="514">
        <f>('Cálculos Yabucoa'!$B$71*((F119))/'Cálculos Yabucoa'!$F$72)+('Cálculos Yabucoa'!$L$71*((F121))/'Cálculos Yabucoa'!$P$72)</f>
        <v>4333.161522620896</v>
      </c>
      <c r="G129" s="514">
        <f>('Cálculos Yabucoa'!$B$71*((G119))/'Cálculos Yabucoa'!$F$72)+('Cálculos Yabucoa'!$L$71*((G121))/'Cálculos Yabucoa'!$P$72)</f>
        <v>1796.3953632223893</v>
      </c>
      <c r="H129" s="514">
        <f>('Cálculos Yabucoa'!$B$71*((H119))/'Cálculos Yabucoa'!$F$72)+('Cálculos Yabucoa'!$L$71*((H121))/'Cálculos Yabucoa'!$P$72)</f>
        <v>2546.1353008107826</v>
      </c>
      <c r="I129" s="514">
        <f>('Cálculos Yabucoa'!$B$71*((I119))/'Cálculos Yabucoa'!$F$72)+('Cálculos Yabucoa'!$L$71*((I121))/'Cálculos Yabucoa'!$P$72)</f>
        <v>2408.732290190168</v>
      </c>
      <c r="J129" s="514">
        <f>('Cálculos Yabucoa'!$B$71*((J119))/'Cálculos Yabucoa'!$F$72)+('Cálculos Yabucoa'!$L$71*((J121))/'Cálculos Yabucoa'!$P$72)</f>
        <v>3462.267586365263</v>
      </c>
      <c r="K129" s="514">
        <f>('Cálculos Yabucoa'!$B$71*((K119))/'Cálculos Yabucoa'!$F$72)+('Cálculos Yabucoa'!$L$71*((K121))/'Cálculos Yabucoa'!$P$72)</f>
        <v>1394.9636888656582</v>
      </c>
      <c r="L129" s="514">
        <f>('Cálculos Yabucoa'!$B$71*((L119))/'Cálculos Yabucoa'!$F$72)+('Cálculos Yabucoa'!$L$71*((L121))/'Cálculos Yabucoa'!$P$72)</f>
        <v>4638.8819173479742</v>
      </c>
      <c r="M129" s="514">
        <f>('Cálculos Yabucoa'!$B$71*((M119))/'Cálculos Yabucoa'!$F$72)+('Cálculos Yabucoa'!$L$71*((M121))/'Cálculos Yabucoa'!$P$72)</f>
        <v>3823.0079795478296</v>
      </c>
      <c r="N129" s="514">
        <f>('Cálculos Yabucoa'!$B$71*((N119))/'Cálculos Yabucoa'!$F$72)+('Cálculos Yabucoa'!$L$71*((N121))/'Cálculos Yabucoa'!$P$72)</f>
        <v>2099.5980382683342</v>
      </c>
      <c r="O129" s="532">
        <f t="shared" si="20"/>
        <v>33317.482394604085</v>
      </c>
    </row>
    <row r="130" spans="1:15" ht="31.5" customHeight="1" x14ac:dyDescent="0.2">
      <c r="A130" s="609" t="s">
        <v>48</v>
      </c>
      <c r="B130" s="609"/>
      <c r="C130" s="525"/>
      <c r="D130" s="525"/>
      <c r="E130" s="525"/>
      <c r="F130" s="525"/>
      <c r="G130" s="525"/>
      <c r="H130" s="525"/>
      <c r="I130" s="525"/>
      <c r="J130" s="525"/>
      <c r="K130" s="525"/>
      <c r="L130" s="525"/>
      <c r="M130" s="525"/>
      <c r="N130" s="525"/>
      <c r="O130" s="525"/>
    </row>
    <row r="131" spans="1:15" ht="21.75" hidden="1" customHeight="1" x14ac:dyDescent="0.2">
      <c r="A131" s="513" t="s">
        <v>415</v>
      </c>
      <c r="B131" s="513" t="s">
        <v>94</v>
      </c>
      <c r="C131" s="526">
        <f>Turbinas!$B$6*42</f>
        <v>0</v>
      </c>
      <c r="D131" s="526">
        <f>Turbinas!$B$7*42</f>
        <v>0</v>
      </c>
      <c r="E131" s="526">
        <f>Turbinas!$B$8*42</f>
        <v>0</v>
      </c>
      <c r="F131" s="526">
        <f>Turbinas!$B$9*42</f>
        <v>0</v>
      </c>
      <c r="G131" s="526">
        <f>Turbinas!$B$10*42</f>
        <v>0</v>
      </c>
      <c r="H131" s="526">
        <f>Turbinas!$B$11*42</f>
        <v>0</v>
      </c>
      <c r="I131" s="526">
        <f>Turbinas!$B$12*42</f>
        <v>0</v>
      </c>
      <c r="J131" s="526">
        <f>Turbinas!$B$13*42</f>
        <v>0</v>
      </c>
      <c r="K131" s="526">
        <f>Turbinas!$B$14*42</f>
        <v>0</v>
      </c>
      <c r="L131" s="526">
        <f>Turbinas!$B$15*42</f>
        <v>0</v>
      </c>
      <c r="M131" s="526">
        <f>Turbinas!$B$16*42</f>
        <v>0</v>
      </c>
      <c r="N131" s="526">
        <f>Turbinas!$B$17*42</f>
        <v>0</v>
      </c>
      <c r="O131" s="527">
        <f>SUM(C131:N131)</f>
        <v>0</v>
      </c>
    </row>
    <row r="132" spans="1:15" ht="21.75" hidden="1" customHeight="1" x14ac:dyDescent="0.2">
      <c r="A132" s="513" t="s">
        <v>416</v>
      </c>
      <c r="B132" s="513" t="s">
        <v>383</v>
      </c>
      <c r="C132" s="530">
        <f>Turbinas!$AC$6</f>
        <v>0.01</v>
      </c>
      <c r="D132" s="530">
        <f>Turbinas!$AC$7</f>
        <v>0.01</v>
      </c>
      <c r="E132" s="530">
        <f>Turbinas!$AC$8</f>
        <v>0.01</v>
      </c>
      <c r="F132" s="530">
        <f>Turbinas!$AC$9</f>
        <v>0.01</v>
      </c>
      <c r="G132" s="530">
        <f>Turbinas!$AC$10</f>
        <v>0.01</v>
      </c>
      <c r="H132" s="530">
        <f>Turbinas!$AC$11</f>
        <v>0.01</v>
      </c>
      <c r="I132" s="530">
        <f>Turbinas!$AC$12</f>
        <v>0.01</v>
      </c>
      <c r="J132" s="530">
        <f>Turbinas!$AC$13</f>
        <v>0.01</v>
      </c>
      <c r="K132" s="530">
        <f>Turbinas!$AC$14</f>
        <v>0.01</v>
      </c>
      <c r="L132" s="530">
        <f>Turbinas!$AC$15</f>
        <v>0.01</v>
      </c>
      <c r="M132" s="530">
        <f>Turbinas!$AC$16</f>
        <v>0.01</v>
      </c>
      <c r="N132" s="530">
        <f>Turbinas!$AC$17</f>
        <v>0.01</v>
      </c>
      <c r="O132" s="531">
        <f>IF(O131=0,0,SUMPRODUCT(C132:N132,C131:N131)/O131)</f>
        <v>0</v>
      </c>
    </row>
    <row r="133" spans="1:15" ht="21.75" hidden="1" customHeight="1" x14ac:dyDescent="0.2">
      <c r="A133" s="513" t="s">
        <v>405</v>
      </c>
      <c r="B133" s="513" t="s">
        <v>94</v>
      </c>
      <c r="C133" s="526">
        <f>Turbinas!$C$6*42</f>
        <v>0</v>
      </c>
      <c r="D133" s="526">
        <f>Turbinas!$C$7*42</f>
        <v>0</v>
      </c>
      <c r="E133" s="526">
        <f>Turbinas!$C$8*42</f>
        <v>0</v>
      </c>
      <c r="F133" s="526">
        <f>Turbinas!$C$9*42</f>
        <v>0</v>
      </c>
      <c r="G133" s="526">
        <f>Turbinas!$C$10*42</f>
        <v>0</v>
      </c>
      <c r="H133" s="526">
        <f>Turbinas!$C$11*42</f>
        <v>0</v>
      </c>
      <c r="I133" s="526">
        <f>Turbinas!$C$12*42</f>
        <v>0</v>
      </c>
      <c r="J133" s="526">
        <f>Turbinas!$C$13*42</f>
        <v>0</v>
      </c>
      <c r="K133" s="526">
        <f>Turbinas!$C$14*42</f>
        <v>0</v>
      </c>
      <c r="L133" s="526">
        <f>Turbinas!$C$15*42</f>
        <v>0</v>
      </c>
      <c r="M133" s="526">
        <f>Turbinas!$C$16*42</f>
        <v>0</v>
      </c>
      <c r="N133" s="526">
        <f>Turbinas!$C$17*42</f>
        <v>0</v>
      </c>
      <c r="O133" s="527">
        <f>SUM(C133:N133)</f>
        <v>0</v>
      </c>
    </row>
    <row r="134" spans="1:15" ht="21.75" hidden="1" customHeight="1" x14ac:dyDescent="0.2">
      <c r="A134" s="513" t="s">
        <v>417</v>
      </c>
      <c r="B134" s="513" t="s">
        <v>383</v>
      </c>
      <c r="C134" s="530">
        <f>Turbinas!$AD$6</f>
        <v>0.01</v>
      </c>
      <c r="D134" s="530">
        <f>Turbinas!$AD$7</f>
        <v>0.01</v>
      </c>
      <c r="E134" s="530">
        <f>Turbinas!$AD$8</f>
        <v>0.01</v>
      </c>
      <c r="F134" s="530">
        <f>Turbinas!$AD$9</f>
        <v>0.01</v>
      </c>
      <c r="G134" s="530">
        <f>Turbinas!$AD$10</f>
        <v>0.01</v>
      </c>
      <c r="H134" s="530">
        <f>Turbinas!$AD$11</f>
        <v>0.01</v>
      </c>
      <c r="I134" s="530">
        <f>Turbinas!$AD$12</f>
        <v>0.01</v>
      </c>
      <c r="J134" s="530">
        <f>Turbinas!$AD$13</f>
        <v>0.01</v>
      </c>
      <c r="K134" s="530">
        <f>Turbinas!$AD$14</f>
        <v>0.01</v>
      </c>
      <c r="L134" s="530">
        <f>Turbinas!$AD$15</f>
        <v>0.01</v>
      </c>
      <c r="M134" s="530">
        <f>Turbinas!$AD$16</f>
        <v>0.01</v>
      </c>
      <c r="N134" s="530">
        <f>Turbinas!$AD$17</f>
        <v>0.01</v>
      </c>
      <c r="O134" s="531">
        <f>IF(O133=0,0,SUMPRODUCT(C134:N134,C133:N133)/O133)</f>
        <v>0</v>
      </c>
    </row>
    <row r="135" spans="1:15" ht="21.75" customHeight="1" x14ac:dyDescent="0.2">
      <c r="A135" s="513" t="s">
        <v>17</v>
      </c>
      <c r="B135" s="513" t="s">
        <v>96</v>
      </c>
      <c r="C135" s="514">
        <f>(('Cálculos Vega Baja'!$B$19*(C131)*'Cálculos Vega Baja'!$F$19)/'Cálculos Vega Baja'!$H$20)+(('Cálculos Vega Baja'!$L$19*(C133)*'Cálculos Vega Baja'!$P$19)/'Cálculos Vega Baja'!$R$20)</f>
        <v>0</v>
      </c>
      <c r="D135" s="514">
        <f>(('Cálculos Vega Baja'!$B$19*(D131)*'Cálculos Vega Baja'!$F$19)/'Cálculos Vega Baja'!$H$20)+(('Cálculos Vega Baja'!$L$19*(D133)*'Cálculos Vega Baja'!$P$19)/'Cálculos Vega Baja'!$R$20)</f>
        <v>0</v>
      </c>
      <c r="E135" s="514">
        <f>(('Cálculos Vega Baja'!$B$19*(E131)*'Cálculos Vega Baja'!$F$19)/'Cálculos Vega Baja'!$H$20)+(('Cálculos Vega Baja'!$L$19*(E133)*'Cálculos Vega Baja'!$P$19)/'Cálculos Vega Baja'!$R$20)</f>
        <v>0</v>
      </c>
      <c r="F135" s="514">
        <f>(('Cálculos Vega Baja'!$B$19*(F131)*'Cálculos Vega Baja'!$F$19)/'Cálculos Vega Baja'!$H$20)+(('Cálculos Vega Baja'!$L$19*(F133)*'Cálculos Vega Baja'!$P$19)/'Cálculos Vega Baja'!$R$20)</f>
        <v>0</v>
      </c>
      <c r="G135" s="514">
        <f>(('Cálculos Vega Baja'!$B$19*(G131)*'Cálculos Vega Baja'!$F$19)/'Cálculos Vega Baja'!$H$20)+(('Cálculos Vega Baja'!$L$19*(G133)*'Cálculos Vega Baja'!$P$19)/'Cálculos Vega Baja'!$R$20)</f>
        <v>0</v>
      </c>
      <c r="H135" s="514">
        <f>(('Cálculos Vega Baja'!$B$19*(H131)*'Cálculos Vega Baja'!$F$19)/'Cálculos Vega Baja'!$H$20)+(('Cálculos Vega Baja'!$L$19*(H133)*'Cálculos Vega Baja'!$P$19)/'Cálculos Vega Baja'!$R$20)</f>
        <v>0</v>
      </c>
      <c r="I135" s="514">
        <f>(('Cálculos Vega Baja'!$B$19*(I131)*'Cálculos Vega Baja'!$F$19)/'Cálculos Vega Baja'!$H$20)+(('Cálculos Vega Baja'!$L$19*(I133)*'Cálculos Vega Baja'!$P$19)/'Cálculos Vega Baja'!$R$20)</f>
        <v>0</v>
      </c>
      <c r="J135" s="514">
        <f>(('Cálculos Vega Baja'!$B$19*(J131)*'Cálculos Vega Baja'!$F$19)/'Cálculos Vega Baja'!$H$20)+(('Cálculos Vega Baja'!$L$19*(J133)*'Cálculos Vega Baja'!$P$19)/'Cálculos Vega Baja'!$R$20)</f>
        <v>0</v>
      </c>
      <c r="K135" s="514">
        <f>(('Cálculos Vega Baja'!$B$19*(K131)*'Cálculos Vega Baja'!$F$19)/'Cálculos Vega Baja'!$H$20)+(('Cálculos Vega Baja'!$L$19*(K133)*'Cálculos Vega Baja'!$P$19)/'Cálculos Vega Baja'!$R$20)</f>
        <v>0</v>
      </c>
      <c r="L135" s="514">
        <f>(('Cálculos Vega Baja'!$B$19*(L131)*'Cálculos Vega Baja'!$F$19)/'Cálculos Vega Baja'!$H$20)+(('Cálculos Vega Baja'!$L$19*(L133)*'Cálculos Vega Baja'!$P$19)/'Cálculos Vega Baja'!$R$20)</f>
        <v>0</v>
      </c>
      <c r="M135" s="514">
        <f>(('Cálculos Vega Baja'!$B$19*(M131)*'Cálculos Vega Baja'!$F$19)/'Cálculos Vega Baja'!$H$20)+(('Cálculos Vega Baja'!$L$19*(M133)*'Cálculos Vega Baja'!$P$19)/'Cálculos Vega Baja'!$R$20)</f>
        <v>0</v>
      </c>
      <c r="N135" s="514">
        <f>(('Cálculos Vega Baja'!$B$19*(N131)*'Cálculos Vega Baja'!$F$19)/'Cálculos Vega Baja'!$H$20)+(('Cálculos Vega Baja'!$L$19*(N133)*'Cálculos Vega Baja'!$P$19)/'Cálculos Vega Baja'!$R$20)</f>
        <v>0</v>
      </c>
      <c r="O135" s="532">
        <f t="shared" ref="O135:O141" si="21">SUM(C135:N135)</f>
        <v>0</v>
      </c>
    </row>
    <row r="136" spans="1:15" ht="21.75" customHeight="1" x14ac:dyDescent="0.2">
      <c r="A136" s="513" t="s">
        <v>377</v>
      </c>
      <c r="B136" s="513" t="s">
        <v>96</v>
      </c>
      <c r="C136" s="514">
        <f>((('Cálculos Vega Baja'!$B$6*C132)*(C131)*'Cálculos Vega Baja'!$F$29)/'Cálculos Vega Baja'!$H$30)+((('Cálculos Vega Baja'!$L$6*C134)*(C133)*'Cálculos Vega Baja'!$P$29)/'Cálculos Vega Baja'!$R$30)</f>
        <v>0</v>
      </c>
      <c r="D136" s="514">
        <f>((('Cálculos Vega Baja'!$B$6*D132)*(D131)*'Cálculos Vega Baja'!$F$29)/'Cálculos Vega Baja'!$H$30)+((('Cálculos Vega Baja'!$L$6*D134)*(D133)*'Cálculos Vega Baja'!$P$29)/'Cálculos Vega Baja'!$R$30)</f>
        <v>0</v>
      </c>
      <c r="E136" s="514">
        <f>((('Cálculos Vega Baja'!$B$6*E132)*(E131)*'Cálculos Vega Baja'!$F$29)/'Cálculos Vega Baja'!$H$30)+((('Cálculos Vega Baja'!$L$6*E134)*(E133)*'Cálculos Vega Baja'!$P$29)/'Cálculos Vega Baja'!$R$30)</f>
        <v>0</v>
      </c>
      <c r="F136" s="514">
        <f>((('Cálculos Vega Baja'!$B$6*F132)*(F131)*'Cálculos Vega Baja'!$F$29)/'Cálculos Vega Baja'!$H$30)+((('Cálculos Vega Baja'!$L$6*F134)*(F133)*'Cálculos Vega Baja'!$P$29)/'Cálculos Vega Baja'!$R$30)</f>
        <v>0</v>
      </c>
      <c r="G136" s="514">
        <f>((('Cálculos Vega Baja'!$B$6*G132)*(G131)*'Cálculos Vega Baja'!$F$29)/'Cálculos Vega Baja'!$H$30)+((('Cálculos Vega Baja'!$L$6*G134)*(G133)*'Cálculos Vega Baja'!$P$29)/'Cálculos Vega Baja'!$R$30)</f>
        <v>0</v>
      </c>
      <c r="H136" s="514">
        <f>((('Cálculos Vega Baja'!$B$6*H132)*(H131)*'Cálculos Vega Baja'!$F$29)/'Cálculos Vega Baja'!$H$30)+((('Cálculos Vega Baja'!$L$6*H134)*(H133)*'Cálculos Vega Baja'!$P$29)/'Cálculos Vega Baja'!$R$30)</f>
        <v>0</v>
      </c>
      <c r="I136" s="514">
        <f>((('Cálculos Vega Baja'!$B$6*I132)*(I131)*'Cálculos Vega Baja'!$F$29)/'Cálculos Vega Baja'!$H$30)+((('Cálculos Vega Baja'!$L$6*I134)*(I133)*'Cálculos Vega Baja'!$P$29)/'Cálculos Vega Baja'!$R$30)</f>
        <v>0</v>
      </c>
      <c r="J136" s="514">
        <f>((('Cálculos Vega Baja'!$B$6*J132)*(J131)*'Cálculos Vega Baja'!$F$29)/'Cálculos Vega Baja'!$H$30)+((('Cálculos Vega Baja'!$L$6*J134)*(J133)*'Cálculos Vega Baja'!$P$29)/'Cálculos Vega Baja'!$R$30)</f>
        <v>0</v>
      </c>
      <c r="K136" s="514">
        <f>((('Cálculos Vega Baja'!$B$6*K132)*(K131)*'Cálculos Vega Baja'!$F$29)/'Cálculos Vega Baja'!$H$30)+((('Cálculos Vega Baja'!$L$6*K134)*(K133)*'Cálculos Vega Baja'!$P$29)/'Cálculos Vega Baja'!$R$30)</f>
        <v>0</v>
      </c>
      <c r="L136" s="514">
        <f>((('Cálculos Vega Baja'!$B$6*L132)*(L131)*'Cálculos Vega Baja'!$F$29)/'Cálculos Vega Baja'!$H$30)+((('Cálculos Vega Baja'!$L$6*L134)*(L133)*'Cálculos Vega Baja'!$P$29)/'Cálculos Vega Baja'!$R$30)</f>
        <v>0</v>
      </c>
      <c r="M136" s="514">
        <f>((('Cálculos Vega Baja'!$B$6*M132)*(M131)*'Cálculos Vega Baja'!$F$29)/'Cálculos Vega Baja'!$H$30)+((('Cálculos Vega Baja'!$L$6*M134)*(M133)*'Cálculos Vega Baja'!$P$29)/'Cálculos Vega Baja'!$R$30)</f>
        <v>0</v>
      </c>
      <c r="N136" s="514">
        <f>((('Cálculos Vega Baja'!$B$6*N132)*(N131)*'Cálculos Vega Baja'!$F$29)/'Cálculos Vega Baja'!$H$30)+((('Cálculos Vega Baja'!$L$6*N134)*(N133)*'Cálculos Vega Baja'!$P$29)/'Cálculos Vega Baja'!$R$30)</f>
        <v>0</v>
      </c>
      <c r="O136" s="532">
        <f t="shared" si="21"/>
        <v>0</v>
      </c>
    </row>
    <row r="137" spans="1:15" ht="21.75" customHeight="1" x14ac:dyDescent="0.2">
      <c r="A137" s="513" t="s">
        <v>20</v>
      </c>
      <c r="B137" s="513" t="s">
        <v>96</v>
      </c>
      <c r="C137" s="514">
        <f>(('Cálculos Vega Baja'!$B$39*(C131)*'Cálculos Vega Baja'!$F$39)/'Cálculos Vega Baja'!$H$40)+(('Cálculos Vega Baja'!$L$39*(C133)*'Cálculos Vega Baja'!$P$39)/'Cálculos Vega Baja'!$R$40)</f>
        <v>0</v>
      </c>
      <c r="D137" s="514">
        <f>(('Cálculos Vega Baja'!$B$39*(D131)*'Cálculos Vega Baja'!$F$39)/'Cálculos Vega Baja'!$H$40)+(('Cálculos Vega Baja'!$L$39*(D133)*'Cálculos Vega Baja'!$P$39)/'Cálculos Vega Baja'!$R$40)</f>
        <v>0</v>
      </c>
      <c r="E137" s="514">
        <f>(('Cálculos Vega Baja'!$B$39*(E131)*'Cálculos Vega Baja'!$F$39)/'Cálculos Vega Baja'!$H$40)+(('Cálculos Vega Baja'!$L$39*(E133)*'Cálculos Vega Baja'!$P$39)/'Cálculos Vega Baja'!$R$40)</f>
        <v>0</v>
      </c>
      <c r="F137" s="514">
        <f>(('Cálculos Vega Baja'!$B$39*(F131)*'Cálculos Vega Baja'!$F$39)/'Cálculos Vega Baja'!$H$40)+(('Cálculos Vega Baja'!$L$39*(F133)*'Cálculos Vega Baja'!$P$39)/'Cálculos Vega Baja'!$R$40)</f>
        <v>0</v>
      </c>
      <c r="G137" s="514">
        <f>(('Cálculos Vega Baja'!$B$39*(G131)*'Cálculos Vega Baja'!$F$39)/'Cálculos Vega Baja'!$H$40)+(('Cálculos Vega Baja'!$L$39*(G133)*'Cálculos Vega Baja'!$P$39)/'Cálculos Vega Baja'!$R$40)</f>
        <v>0</v>
      </c>
      <c r="H137" s="514">
        <f>(('Cálculos Vega Baja'!$B$39*(H131)*'Cálculos Vega Baja'!$F$39)/'Cálculos Vega Baja'!$H$40)+(('Cálculos Vega Baja'!$L$39*(H133)*'Cálculos Vega Baja'!$P$39)/'Cálculos Vega Baja'!$R$40)</f>
        <v>0</v>
      </c>
      <c r="I137" s="514">
        <f>(('Cálculos Vega Baja'!$B$39*(I131)*'Cálculos Vega Baja'!$F$39)/'Cálculos Vega Baja'!$H$40)+(('Cálculos Vega Baja'!$L$39*(I133)*'Cálculos Vega Baja'!$P$39)/'Cálculos Vega Baja'!$R$40)</f>
        <v>0</v>
      </c>
      <c r="J137" s="514">
        <f>(('Cálculos Vega Baja'!$B$39*(J131)*'Cálculos Vega Baja'!$F$39)/'Cálculos Vega Baja'!$H$40)+(('Cálculos Vega Baja'!$L$39*(J133)*'Cálculos Vega Baja'!$P$39)/'Cálculos Vega Baja'!$R$40)</f>
        <v>0</v>
      </c>
      <c r="K137" s="514">
        <f>(('Cálculos Vega Baja'!$B$39*(K131)*'Cálculos Vega Baja'!$F$39)/'Cálculos Vega Baja'!$H$40)+(('Cálculos Vega Baja'!$L$39*(K133)*'Cálculos Vega Baja'!$P$39)/'Cálculos Vega Baja'!$R$40)</f>
        <v>0</v>
      </c>
      <c r="L137" s="514">
        <f>(('Cálculos Vega Baja'!$B$39*(L131)*'Cálculos Vega Baja'!$F$39)/'Cálculos Vega Baja'!$H$40)+(('Cálculos Vega Baja'!$L$39*(L133)*'Cálculos Vega Baja'!$P$39)/'Cálculos Vega Baja'!$R$40)</f>
        <v>0</v>
      </c>
      <c r="M137" s="514">
        <f>(('Cálculos Vega Baja'!$B$39*(M131)*'Cálculos Vega Baja'!$F$39)/'Cálculos Vega Baja'!$H$40)+(('Cálculos Vega Baja'!$L$39*(M133)*'Cálculos Vega Baja'!$P$39)/'Cálculos Vega Baja'!$R$40)</f>
        <v>0</v>
      </c>
      <c r="N137" s="514">
        <f>(('Cálculos Vega Baja'!$B$39*(N131)*'Cálculos Vega Baja'!$F$39)/'Cálculos Vega Baja'!$H$40)+(('Cálculos Vega Baja'!$L$39*(N133)*'Cálculos Vega Baja'!$P$39)/'Cálculos Vega Baja'!$R$40)</f>
        <v>0</v>
      </c>
      <c r="O137" s="532">
        <f t="shared" si="21"/>
        <v>0</v>
      </c>
    </row>
    <row r="138" spans="1:15" ht="21.75" customHeight="1" x14ac:dyDescent="0.2">
      <c r="A138" s="513" t="s">
        <v>22</v>
      </c>
      <c r="B138" s="513" t="s">
        <v>96</v>
      </c>
      <c r="C138" s="514">
        <f>(('Cálculos Vega Baja'!$B$49*(C131)*'Cálculos Vega Baja'!$F$49)/'Cálculos Vega Baja'!$H$50)+(('Cálculos Vega Baja'!$L$49*(C133)*'Cálculos Vega Baja'!$P$49)/'Cálculos Vega Baja'!$R$50)</f>
        <v>0</v>
      </c>
      <c r="D138" s="514">
        <f>(('Cálculos Vega Baja'!$B$49*(D131)*'Cálculos Vega Baja'!$F$49)/'Cálculos Vega Baja'!$H$50)+(('Cálculos Vega Baja'!$L$49*(D133)*'Cálculos Vega Baja'!$P$49)/'Cálculos Vega Baja'!$R$50)</f>
        <v>0</v>
      </c>
      <c r="E138" s="514">
        <f>(('Cálculos Vega Baja'!$B$49*(E131)*'Cálculos Vega Baja'!$F$49)/'Cálculos Vega Baja'!$H$50)+(('Cálculos Vega Baja'!$L$49*(E133)*'Cálculos Vega Baja'!$P$49)/'Cálculos Vega Baja'!$R$50)</f>
        <v>0</v>
      </c>
      <c r="F138" s="514">
        <f>(('Cálculos Vega Baja'!$B$49*(F131)*'Cálculos Vega Baja'!$F$49)/'Cálculos Vega Baja'!$H$50)+(('Cálculos Vega Baja'!$L$49*(F133)*'Cálculos Vega Baja'!$P$49)/'Cálculos Vega Baja'!$R$50)</f>
        <v>0</v>
      </c>
      <c r="G138" s="514">
        <f>(('Cálculos Vega Baja'!$B$49*(G131)*'Cálculos Vega Baja'!$F$49)/'Cálculos Vega Baja'!$H$50)+(('Cálculos Vega Baja'!$L$49*(G133)*'Cálculos Vega Baja'!$P$49)/'Cálculos Vega Baja'!$R$50)</f>
        <v>0</v>
      </c>
      <c r="H138" s="514">
        <f>(('Cálculos Vega Baja'!$B$49*(H131)*'Cálculos Vega Baja'!$F$49)/'Cálculos Vega Baja'!$H$50)+(('Cálculos Vega Baja'!$L$49*(H133)*'Cálculos Vega Baja'!$P$49)/'Cálculos Vega Baja'!$R$50)</f>
        <v>0</v>
      </c>
      <c r="I138" s="514">
        <f>(('Cálculos Vega Baja'!$B$49*(I131)*'Cálculos Vega Baja'!$F$49)/'Cálculos Vega Baja'!$H$50)+(('Cálculos Vega Baja'!$L$49*(I133)*'Cálculos Vega Baja'!$P$49)/'Cálculos Vega Baja'!$R$50)</f>
        <v>0</v>
      </c>
      <c r="J138" s="514">
        <f>(('Cálculos Vega Baja'!$B$49*(J131)*'Cálculos Vega Baja'!$F$49)/'Cálculos Vega Baja'!$H$50)+(('Cálculos Vega Baja'!$L$49*(J133)*'Cálculos Vega Baja'!$P$49)/'Cálculos Vega Baja'!$R$50)</f>
        <v>0</v>
      </c>
      <c r="K138" s="514">
        <f>(('Cálculos Vega Baja'!$B$49*(K131)*'Cálculos Vega Baja'!$F$49)/'Cálculos Vega Baja'!$H$50)+(('Cálculos Vega Baja'!$L$49*(K133)*'Cálculos Vega Baja'!$P$49)/'Cálculos Vega Baja'!$R$50)</f>
        <v>0</v>
      </c>
      <c r="L138" s="514">
        <f>(('Cálculos Vega Baja'!$B$49*(L131)*'Cálculos Vega Baja'!$F$49)/'Cálculos Vega Baja'!$H$50)+(('Cálculos Vega Baja'!$L$49*(L133)*'Cálculos Vega Baja'!$P$49)/'Cálculos Vega Baja'!$R$50)</f>
        <v>0</v>
      </c>
      <c r="M138" s="514">
        <f>(('Cálculos Vega Baja'!$B$49*(M131)*'Cálculos Vega Baja'!$F$49)/'Cálculos Vega Baja'!$H$50)+(('Cálculos Vega Baja'!$L$49*(M133)*'Cálculos Vega Baja'!$P$49)/'Cálculos Vega Baja'!$R$50)</f>
        <v>0</v>
      </c>
      <c r="N138" s="514">
        <f>(('Cálculos Vega Baja'!$B$49*(N131)*'Cálculos Vega Baja'!$F$49)/'Cálculos Vega Baja'!$H$50)+(('Cálculos Vega Baja'!$L$49*(N133)*'Cálculos Vega Baja'!$P$49)/'Cálculos Vega Baja'!$R$50)</f>
        <v>0</v>
      </c>
      <c r="O138" s="532">
        <f t="shared" si="21"/>
        <v>0</v>
      </c>
    </row>
    <row r="139" spans="1:15" ht="21.75" customHeight="1" x14ac:dyDescent="0.2">
      <c r="A139" s="513" t="s">
        <v>21</v>
      </c>
      <c r="B139" s="513" t="s">
        <v>96</v>
      </c>
      <c r="C139" s="514">
        <f>(('Cálculos Vega Baja'!$B$59*(C131)*'Cálculos Vega Baja'!$F$59)/'Cálculos Vega Baja'!$H$60)+(('Cálculos Vega Baja'!$L$59*(C133)*'Cálculos Vega Baja'!$P$59)/'Cálculos Vega Baja'!$R$60)</f>
        <v>0</v>
      </c>
      <c r="D139" s="514">
        <f>(('Cálculos Vega Baja'!$B$59*(D131)*'Cálculos Vega Baja'!$F$59)/'Cálculos Vega Baja'!$H$60)+(('Cálculos Vega Baja'!$L$59*(D133)*'Cálculos Vega Baja'!$P$59)/'Cálculos Vega Baja'!$R$60)</f>
        <v>0</v>
      </c>
      <c r="E139" s="514">
        <f>(('Cálculos Vega Baja'!$B$59*(E131)*'Cálculos Vega Baja'!$F$59)/'Cálculos Vega Baja'!$H$60)+(('Cálculos Vega Baja'!$L$59*(E133)*'Cálculos Vega Baja'!$P$59)/'Cálculos Vega Baja'!$R$60)</f>
        <v>0</v>
      </c>
      <c r="F139" s="514">
        <f>(('Cálculos Vega Baja'!$B$59*(F131)*'Cálculos Vega Baja'!$F$59)/'Cálculos Vega Baja'!$H$60)+(('Cálculos Vega Baja'!$L$59*(F133)*'Cálculos Vega Baja'!$P$59)/'Cálculos Vega Baja'!$R$60)</f>
        <v>0</v>
      </c>
      <c r="G139" s="514">
        <f>(('Cálculos Vega Baja'!$B$59*(G131)*'Cálculos Vega Baja'!$F$59)/'Cálculos Vega Baja'!$H$60)+(('Cálculos Vega Baja'!$L$59*(G133)*'Cálculos Vega Baja'!$P$59)/'Cálculos Vega Baja'!$R$60)</f>
        <v>0</v>
      </c>
      <c r="H139" s="514">
        <f>(('Cálculos Vega Baja'!$B$59*(H131)*'Cálculos Vega Baja'!$F$59)/'Cálculos Vega Baja'!$H$60)+(('Cálculos Vega Baja'!$L$59*(H133)*'Cálculos Vega Baja'!$P$59)/'Cálculos Vega Baja'!$R$60)</f>
        <v>0</v>
      </c>
      <c r="I139" s="514">
        <f>(('Cálculos Vega Baja'!$B$59*(I131)*'Cálculos Vega Baja'!$F$59)/'Cálculos Vega Baja'!$H$60)+(('Cálculos Vega Baja'!$L$59*(I133)*'Cálculos Vega Baja'!$P$59)/'Cálculos Vega Baja'!$R$60)</f>
        <v>0</v>
      </c>
      <c r="J139" s="514">
        <f>(('Cálculos Vega Baja'!$B$59*(J131)*'Cálculos Vega Baja'!$F$59)/'Cálculos Vega Baja'!$H$60)+(('Cálculos Vega Baja'!$L$59*(J133)*'Cálculos Vega Baja'!$P$59)/'Cálculos Vega Baja'!$R$60)</f>
        <v>0</v>
      </c>
      <c r="K139" s="514">
        <f>(('Cálculos Vega Baja'!$B$59*(K131)*'Cálculos Vega Baja'!$F$59)/'Cálculos Vega Baja'!$H$60)+(('Cálculos Vega Baja'!$L$59*(K133)*'Cálculos Vega Baja'!$P$59)/'Cálculos Vega Baja'!$R$60)</f>
        <v>0</v>
      </c>
      <c r="L139" s="514">
        <f>(('Cálculos Vega Baja'!$B$59*(L131)*'Cálculos Vega Baja'!$F$59)/'Cálculos Vega Baja'!$H$60)+(('Cálculos Vega Baja'!$L$59*(L133)*'Cálculos Vega Baja'!$P$59)/'Cálculos Vega Baja'!$R$60)</f>
        <v>0</v>
      </c>
      <c r="M139" s="514">
        <f>(('Cálculos Vega Baja'!$B$59*(M131)*'Cálculos Vega Baja'!$F$59)/'Cálculos Vega Baja'!$H$60)+(('Cálculos Vega Baja'!$L$59*(M133)*'Cálculos Vega Baja'!$P$59)/'Cálculos Vega Baja'!$R$60)</f>
        <v>0</v>
      </c>
      <c r="N139" s="514">
        <f>(('Cálculos Vega Baja'!$B$59*(N131)*'Cálculos Vega Baja'!$F$59)/'Cálculos Vega Baja'!$H$60)+(('Cálculos Vega Baja'!$L$59*(N133)*'Cálculos Vega Baja'!$P$59)/'Cálculos Vega Baja'!$R$60)</f>
        <v>0</v>
      </c>
      <c r="O139" s="532">
        <f t="shared" si="21"/>
        <v>0</v>
      </c>
    </row>
    <row r="140" spans="1:15" ht="21.75" customHeight="1" x14ac:dyDescent="0.2">
      <c r="A140" s="513" t="s">
        <v>23</v>
      </c>
      <c r="B140" s="513" t="s">
        <v>96</v>
      </c>
      <c r="C140" s="519">
        <f>(('Cálculos Vega Baja'!$B$69*(C131)*'Cálculos Vega Baja'!$F$69)/'Cálculos Vega Baja'!$H$70)+(('Cálculos Vega Baja'!$L$69*(C133)*'Cálculos Vega Baja'!$P$69)/'Cálculos Vega Baja'!$R$70)</f>
        <v>0</v>
      </c>
      <c r="D140" s="519">
        <f>(('Cálculos Vega Baja'!$B$69*(D131)*'Cálculos Vega Baja'!$F$69)/'Cálculos Vega Baja'!$H$70)+(('Cálculos Vega Baja'!$L$69*(D133)*'Cálculos Vega Baja'!$P$69)/'Cálculos Vega Baja'!$R$70)</f>
        <v>0</v>
      </c>
      <c r="E140" s="519">
        <f>(('Cálculos Vega Baja'!$B$69*(E131)*'Cálculos Vega Baja'!$F$69)/'Cálculos Vega Baja'!$H$70)+(('Cálculos Vega Baja'!$L$69*(E133)*'Cálculos Vega Baja'!$P$69)/'Cálculos Vega Baja'!$R$70)</f>
        <v>0</v>
      </c>
      <c r="F140" s="519">
        <f>(('Cálculos Vega Baja'!$B$69*(F131)*'Cálculos Vega Baja'!$F$69)/'Cálculos Vega Baja'!$H$70)+(('Cálculos Vega Baja'!$L$69*(F133)*'Cálculos Vega Baja'!$P$69)/'Cálculos Vega Baja'!$R$70)</f>
        <v>0</v>
      </c>
      <c r="G140" s="519">
        <f>(('Cálculos Vega Baja'!$B$69*(G131)*'Cálculos Vega Baja'!$F$69)/'Cálculos Vega Baja'!$H$70)+(('Cálculos Vega Baja'!$L$69*(G133)*'Cálculos Vega Baja'!$P$69)/'Cálculos Vega Baja'!$R$70)</f>
        <v>0</v>
      </c>
      <c r="H140" s="519">
        <f>(('Cálculos Vega Baja'!$B$69*(H131)*'Cálculos Vega Baja'!$F$69)/'Cálculos Vega Baja'!$H$70)+(('Cálculos Vega Baja'!$L$69*(H133)*'Cálculos Vega Baja'!$P$69)/'Cálculos Vega Baja'!$R$70)</f>
        <v>0</v>
      </c>
      <c r="I140" s="519">
        <f>(('Cálculos Vega Baja'!$B$69*(I131)*'Cálculos Vega Baja'!$F$69)/'Cálculos Vega Baja'!$H$70)+(('Cálculos Vega Baja'!$L$69*(I133)*'Cálculos Vega Baja'!$P$69)/'Cálculos Vega Baja'!$R$70)</f>
        <v>0</v>
      </c>
      <c r="J140" s="519">
        <f>(('Cálculos Vega Baja'!$B$69*(J131)*'Cálculos Vega Baja'!$F$69)/'Cálculos Vega Baja'!$H$70)+(('Cálculos Vega Baja'!$L$69*(J133)*'Cálculos Vega Baja'!$P$69)/'Cálculos Vega Baja'!$R$70)</f>
        <v>0</v>
      </c>
      <c r="K140" s="519">
        <f>(('Cálculos Vega Baja'!$B$69*(K131)*'Cálculos Vega Baja'!$F$69)/'Cálculos Vega Baja'!$H$70)+(('Cálculos Vega Baja'!$L$69*(K133)*'Cálculos Vega Baja'!$P$69)/'Cálculos Vega Baja'!$R$70)</f>
        <v>0</v>
      </c>
      <c r="L140" s="519">
        <f>(('Cálculos Vega Baja'!$B$69*(L131)*'Cálculos Vega Baja'!$F$69)/'Cálculos Vega Baja'!$H$70)+(('Cálculos Vega Baja'!$L$69*(L133)*'Cálculos Vega Baja'!$P$69)/'Cálculos Vega Baja'!$R$70)</f>
        <v>0</v>
      </c>
      <c r="M140" s="519">
        <f>(('Cálculos Vega Baja'!$B$69*(M131)*'Cálculos Vega Baja'!$F$69)/'Cálculos Vega Baja'!$H$70)+(('Cálculos Vega Baja'!$L$69*(M133)*'Cálculos Vega Baja'!$P$69)/'Cálculos Vega Baja'!$R$70)</f>
        <v>0</v>
      </c>
      <c r="N140" s="519">
        <f>(('Cálculos Vega Baja'!$B$69*(N131)*'Cálculos Vega Baja'!$F$69)/'Cálculos Vega Baja'!$H$70)+(('Cálculos Vega Baja'!$L$69*(N133)*'Cálculos Vega Baja'!$P$69)/'Cálculos Vega Baja'!$R$70)</f>
        <v>0</v>
      </c>
      <c r="O140" s="533">
        <f t="shared" si="21"/>
        <v>0</v>
      </c>
    </row>
    <row r="141" spans="1:15" ht="21.75" customHeight="1" x14ac:dyDescent="0.2">
      <c r="A141" s="513" t="s">
        <v>24</v>
      </c>
      <c r="B141" s="513" t="s">
        <v>96</v>
      </c>
      <c r="C141" s="514">
        <f>('Cálculos Vega Baja'!$B$79*((C131))/'Cálculos Vega Baja'!$F$80)+('Cálculos Vega Baja'!$L$79*((C133))/'Cálculos Vega Baja'!$P$80)</f>
        <v>0</v>
      </c>
      <c r="D141" s="514">
        <f>('Cálculos Vega Baja'!$B$79*((D131))/'Cálculos Vega Baja'!$F$80)+('Cálculos Vega Baja'!$L$79*((D133))/'Cálculos Vega Baja'!$P$80)</f>
        <v>0</v>
      </c>
      <c r="E141" s="514">
        <f>('Cálculos Vega Baja'!$B$79*((E131))/'Cálculos Vega Baja'!$F$80)+('Cálculos Vega Baja'!$L$79*((E133))/'Cálculos Vega Baja'!$P$80)</f>
        <v>0</v>
      </c>
      <c r="F141" s="514">
        <f>('Cálculos Vega Baja'!$B$79*((F131))/'Cálculos Vega Baja'!$F$80)+('Cálculos Vega Baja'!$L$79*((F133))/'Cálculos Vega Baja'!$P$80)</f>
        <v>0</v>
      </c>
      <c r="G141" s="514">
        <f>('Cálculos Vega Baja'!$B$79*((G131))/'Cálculos Vega Baja'!$F$80)+('Cálculos Vega Baja'!$L$79*((G133))/'Cálculos Vega Baja'!$P$80)</f>
        <v>0</v>
      </c>
      <c r="H141" s="514">
        <f>('Cálculos Vega Baja'!$B$79*((H131))/'Cálculos Vega Baja'!$F$80)+('Cálculos Vega Baja'!$L$79*((H133))/'Cálculos Vega Baja'!$P$80)</f>
        <v>0</v>
      </c>
      <c r="I141" s="514">
        <f>('Cálculos Vega Baja'!$B$79*((I131))/'Cálculos Vega Baja'!$F$80)+('Cálculos Vega Baja'!$L$79*((I133))/'Cálculos Vega Baja'!$P$80)</f>
        <v>0</v>
      </c>
      <c r="J141" s="514">
        <f>('Cálculos Vega Baja'!$B$79*((J131))/'Cálculos Vega Baja'!$F$80)+('Cálculos Vega Baja'!$L$79*((J133))/'Cálculos Vega Baja'!$P$80)</f>
        <v>0</v>
      </c>
      <c r="K141" s="514">
        <f>('Cálculos Vega Baja'!$B$79*((K131))/'Cálculos Vega Baja'!$F$80)+('Cálculos Vega Baja'!$L$79*((K133))/'Cálculos Vega Baja'!$P$80)</f>
        <v>0</v>
      </c>
      <c r="L141" s="514">
        <f>('Cálculos Vega Baja'!$B$79*((L131))/'Cálculos Vega Baja'!$F$80)+('Cálculos Vega Baja'!$L$79*((L133))/'Cálculos Vega Baja'!$P$80)</f>
        <v>0</v>
      </c>
      <c r="M141" s="514">
        <f>('Cálculos Vega Baja'!$B$79*((M131))/'Cálculos Vega Baja'!$F$80)+('Cálculos Vega Baja'!$L$79*((M133))/'Cálculos Vega Baja'!$P$80)</f>
        <v>0</v>
      </c>
      <c r="N141" s="514">
        <f>('Cálculos Vega Baja'!$B$79*((N131))/'Cálculos Vega Baja'!$F$80)+('Cálculos Vega Baja'!$L$79*((N133))/'Cálculos Vega Baja'!$P$80)</f>
        <v>0</v>
      </c>
      <c r="O141" s="532">
        <f t="shared" si="21"/>
        <v>0</v>
      </c>
    </row>
    <row r="142" spans="1:15" ht="31.5" customHeight="1" x14ac:dyDescent="0.2">
      <c r="A142" s="609" t="s">
        <v>47</v>
      </c>
      <c r="B142" s="609"/>
      <c r="C142" s="525"/>
      <c r="D142" s="525"/>
      <c r="E142" s="525"/>
      <c r="F142" s="525"/>
      <c r="G142" s="525"/>
      <c r="H142" s="525"/>
      <c r="I142" s="525"/>
      <c r="J142" s="525"/>
      <c r="K142" s="525"/>
      <c r="L142" s="525"/>
      <c r="M142" s="525"/>
      <c r="N142" s="525"/>
      <c r="O142" s="525"/>
    </row>
    <row r="143" spans="1:15" ht="21.75" hidden="1" customHeight="1" x14ac:dyDescent="0.2">
      <c r="A143" s="513" t="s">
        <v>415</v>
      </c>
      <c r="B143" s="513" t="s">
        <v>94</v>
      </c>
      <c r="C143" s="526">
        <f>Turbinas!$N$6*42</f>
        <v>0</v>
      </c>
      <c r="D143" s="526">
        <f>Turbinas!$N$7*42</f>
        <v>0</v>
      </c>
      <c r="E143" s="526">
        <f>Turbinas!$N$8*42</f>
        <v>0</v>
      </c>
      <c r="F143" s="526">
        <f>Turbinas!$N$9*42</f>
        <v>0</v>
      </c>
      <c r="G143" s="526">
        <f>Turbinas!$N$10*42</f>
        <v>0</v>
      </c>
      <c r="H143" s="526">
        <f>Turbinas!$N$11*42</f>
        <v>0</v>
      </c>
      <c r="I143" s="526">
        <f>Turbinas!$N$12*42</f>
        <v>0</v>
      </c>
      <c r="J143" s="526">
        <f>Turbinas!$N$13*42</f>
        <v>0</v>
      </c>
      <c r="K143" s="526">
        <f>Turbinas!$N$14*42</f>
        <v>0</v>
      </c>
      <c r="L143" s="526">
        <f>Turbinas!$N$15*42</f>
        <v>0</v>
      </c>
      <c r="M143" s="526">
        <f>Turbinas!$N$16*42</f>
        <v>0</v>
      </c>
      <c r="N143" s="526">
        <f>Turbinas!$N$17*42</f>
        <v>0</v>
      </c>
      <c r="O143" s="527">
        <f>SUM(C143:N143)</f>
        <v>0</v>
      </c>
    </row>
    <row r="144" spans="1:15" ht="21.75" hidden="1" customHeight="1" x14ac:dyDescent="0.2">
      <c r="A144" s="513" t="s">
        <v>416</v>
      </c>
      <c r="B144" s="513" t="s">
        <v>383</v>
      </c>
      <c r="C144" s="530">
        <f>Turbinas!$W$6</f>
        <v>0.01</v>
      </c>
      <c r="D144" s="530">
        <f>Turbinas!$W$7</f>
        <v>0.01</v>
      </c>
      <c r="E144" s="530">
        <f>Turbinas!$W$8</f>
        <v>0.01</v>
      </c>
      <c r="F144" s="530">
        <f>Turbinas!$W$9</f>
        <v>0.01</v>
      </c>
      <c r="G144" s="530">
        <f>Turbinas!$W$10</f>
        <v>0.01</v>
      </c>
      <c r="H144" s="530">
        <f>Turbinas!$W$11</f>
        <v>0.01</v>
      </c>
      <c r="I144" s="530">
        <f>Turbinas!$W$12</f>
        <v>0.01</v>
      </c>
      <c r="J144" s="530">
        <f>Turbinas!$W$13</f>
        <v>0.01</v>
      </c>
      <c r="K144" s="530">
        <f>Turbinas!$W$14</f>
        <v>0.01</v>
      </c>
      <c r="L144" s="530">
        <f>Turbinas!$W$15</f>
        <v>0.01</v>
      </c>
      <c r="M144" s="530">
        <f>Turbinas!$W$16</f>
        <v>0.01</v>
      </c>
      <c r="N144" s="530">
        <f>Turbinas!$W$17</f>
        <v>0.01</v>
      </c>
      <c r="O144" s="531">
        <f>IF(O143=0,0,SUMPRODUCT(C144:N144,C143:N143)/O143)</f>
        <v>0</v>
      </c>
    </row>
    <row r="145" spans="1:15" ht="21.75" hidden="1" customHeight="1" x14ac:dyDescent="0.2">
      <c r="A145" s="513" t="s">
        <v>405</v>
      </c>
      <c r="B145" s="513" t="s">
        <v>94</v>
      </c>
      <c r="C145" s="526">
        <f>Turbinas!$O$6*42</f>
        <v>196440.3</v>
      </c>
      <c r="D145" s="526">
        <f>Turbinas!$O$7*42</f>
        <v>141410.64000000001</v>
      </c>
      <c r="E145" s="526">
        <f>Turbinas!$O$8*42</f>
        <v>395277.95999999996</v>
      </c>
      <c r="F145" s="526">
        <f>Turbinas!$O$9*42</f>
        <v>575966.16</v>
      </c>
      <c r="G145" s="526">
        <f>Turbinas!$O$10*42</f>
        <v>215979.96</v>
      </c>
      <c r="H145" s="526">
        <f>Turbinas!$O$11*42</f>
        <v>344373.95999999996</v>
      </c>
      <c r="I145" s="526">
        <f>Turbinas!$O$12*42</f>
        <v>369412.26</v>
      </c>
      <c r="J145" s="526">
        <f>Turbinas!$O$13*42</f>
        <v>347864.16</v>
      </c>
      <c r="K145" s="526">
        <f>Turbinas!$O$14*42</f>
        <v>158850.72</v>
      </c>
      <c r="L145" s="526">
        <f>Turbinas!$O$15*42</f>
        <v>547344</v>
      </c>
      <c r="M145" s="526">
        <f>Turbinas!$O$16*42</f>
        <v>399031.5</v>
      </c>
      <c r="N145" s="526">
        <f>Turbinas!$O$17*42</f>
        <v>40307.82</v>
      </c>
      <c r="O145" s="527">
        <f>SUM(C145:N145)</f>
        <v>3732259.4400000004</v>
      </c>
    </row>
    <row r="146" spans="1:15" ht="21.75" hidden="1" customHeight="1" x14ac:dyDescent="0.2">
      <c r="A146" s="513" t="s">
        <v>417</v>
      </c>
      <c r="B146" s="513" t="s">
        <v>383</v>
      </c>
      <c r="C146" s="530">
        <f>Turbinas!$X$6</f>
        <v>0.01</v>
      </c>
      <c r="D146" s="530">
        <f>Turbinas!$X$7</f>
        <v>0.01</v>
      </c>
      <c r="E146" s="530">
        <f>Turbinas!$X$8</f>
        <v>0.01</v>
      </c>
      <c r="F146" s="530">
        <f>Turbinas!$X$9</f>
        <v>0.01</v>
      </c>
      <c r="G146" s="530">
        <f>Turbinas!$X$10</f>
        <v>0.01</v>
      </c>
      <c r="H146" s="530">
        <f>Turbinas!$X$11</f>
        <v>0.01</v>
      </c>
      <c r="I146" s="530">
        <f>Turbinas!$X$12</f>
        <v>0.01</v>
      </c>
      <c r="J146" s="530">
        <f>Turbinas!$X$13</f>
        <v>0.01</v>
      </c>
      <c r="K146" s="530">
        <f>Turbinas!$X$14</f>
        <v>0.01</v>
      </c>
      <c r="L146" s="530">
        <f>Turbinas!$X$15</f>
        <v>0.01</v>
      </c>
      <c r="M146" s="530">
        <f>Turbinas!$X$16</f>
        <v>0.01</v>
      </c>
      <c r="N146" s="530">
        <f>Turbinas!$X$17</f>
        <v>0.01</v>
      </c>
      <c r="O146" s="531">
        <f>IF(O145=0,0,SUMPRODUCT(C146:N146,C145:N145)/O145)</f>
        <v>0.01</v>
      </c>
    </row>
    <row r="147" spans="1:15" ht="21.75" customHeight="1" x14ac:dyDescent="0.2">
      <c r="A147" s="513" t="s">
        <v>17</v>
      </c>
      <c r="B147" s="513" t="s">
        <v>96</v>
      </c>
      <c r="C147" s="514">
        <f>(('Cálculos Jobos'!$B$19*(C143)*'Cálculos Jobos'!$F$19)/'Cálculos Jobos'!$H$20)+(('Cálculos Jobos'!$L$19*(C145)*'Cálculos Jobos'!$P$19)/'Cálculos Jobos'!$R$20)</f>
        <v>0.1626525684</v>
      </c>
      <c r="D147" s="514">
        <f>(('Cálculos Jobos'!$B$19*(D143)*'Cálculos Jobos'!$F$19)/'Cálculos Jobos'!$H$20)+(('Cálculos Jobos'!$L$19*(D145)*'Cálculos Jobos'!$P$19)/'Cálculos Jobos'!$R$20)</f>
        <v>0.11708800992000003</v>
      </c>
      <c r="E147" s="514">
        <f>(('Cálculos Jobos'!$B$19*(E143)*'Cálculos Jobos'!$F$19)/'Cálculos Jobos'!$H$20)+(('Cálculos Jobos'!$L$19*(E145)*'Cálculos Jobos'!$P$19)/'Cálculos Jobos'!$R$20)</f>
        <v>0.32729015088000002</v>
      </c>
      <c r="F147" s="514">
        <f>(('Cálculos Jobos'!$B$19*(F143)*'Cálculos Jobos'!$F$19)/'Cálculos Jobos'!$H$20)+(('Cálculos Jobos'!$L$19*(F145)*'Cálculos Jobos'!$P$19)/'Cálculos Jobos'!$R$20)</f>
        <v>0.47689998048000004</v>
      </c>
      <c r="G147" s="514">
        <f>(('Cálculos Jobos'!$B$19*(G143)*'Cálculos Jobos'!$F$19)/'Cálculos Jobos'!$H$20)+(('Cálculos Jobos'!$L$19*(G145)*'Cálculos Jobos'!$P$19)/'Cálculos Jobos'!$R$20)</f>
        <v>0.17883140688000004</v>
      </c>
      <c r="H147" s="514">
        <f>(('Cálculos Jobos'!$B$19*(H143)*'Cálculos Jobos'!$F$19)/'Cálculos Jobos'!$H$20)+(('Cálculos Jobos'!$L$19*(H145)*'Cálculos Jobos'!$P$19)/'Cálculos Jobos'!$R$20)</f>
        <v>0.28514163887999999</v>
      </c>
      <c r="I147" s="514">
        <f>(('Cálculos Jobos'!$B$19*(I143)*'Cálculos Jobos'!$F$19)/'Cálculos Jobos'!$H$20)+(('Cálculos Jobos'!$L$19*(I145)*'Cálculos Jobos'!$P$19)/'Cálculos Jobos'!$R$20)</f>
        <v>0.30587335127999998</v>
      </c>
      <c r="J147" s="514">
        <f>(('Cálculos Jobos'!$B$19*(J143)*'Cálculos Jobos'!$F$19)/'Cálculos Jobos'!$H$20)+(('Cálculos Jobos'!$L$19*(J145)*'Cálculos Jobos'!$P$19)/'Cálculos Jobos'!$R$20)</f>
        <v>0.28803152448000002</v>
      </c>
      <c r="K147" s="514">
        <f>(('Cálculos Jobos'!$B$19*(K143)*'Cálculos Jobos'!$F$19)/'Cálculos Jobos'!$H$20)+(('Cálculos Jobos'!$L$19*(K145)*'Cálculos Jobos'!$P$19)/'Cálculos Jobos'!$R$20)</f>
        <v>0.13152839616000003</v>
      </c>
      <c r="L147" s="514">
        <f>(('Cálculos Jobos'!$B$19*(L143)*'Cálculos Jobos'!$F$19)/'Cálculos Jobos'!$H$20)+(('Cálculos Jobos'!$L$19*(L145)*'Cálculos Jobos'!$P$19)/'Cálculos Jobos'!$R$20)</f>
        <v>0.453200832</v>
      </c>
      <c r="M147" s="514">
        <f>(('Cálculos Jobos'!$B$19*(M143)*'Cálculos Jobos'!$F$19)/'Cálculos Jobos'!$H$20)+(('Cálculos Jobos'!$L$19*(M145)*'Cálculos Jobos'!$P$19)/'Cálculos Jobos'!$R$20)</f>
        <v>0.33039808199999998</v>
      </c>
      <c r="N147" s="514">
        <f>(('Cálculos Jobos'!$B$19*(N143)*'Cálculos Jobos'!$F$19)/'Cálculos Jobos'!$H$20)+(('Cálculos Jobos'!$L$19*(N145)*'Cálculos Jobos'!$P$19)/'Cálculos Jobos'!$R$20)</f>
        <v>3.3374874960000009E-2</v>
      </c>
      <c r="O147" s="532">
        <f t="shared" ref="O147:O153" si="22">SUM(C147:N147)</f>
        <v>3.0903108163199997</v>
      </c>
    </row>
    <row r="148" spans="1:15" ht="21.75" customHeight="1" x14ac:dyDescent="0.2">
      <c r="A148" s="513" t="s">
        <v>377</v>
      </c>
      <c r="B148" s="513" t="s">
        <v>96</v>
      </c>
      <c r="C148" s="514">
        <f>((('Cálculos Jobos'!$B$6*C144)*(C143)*'Cálculos Jobos'!$F$29)/'Cálculos Jobos'!$H$30)+((('Cálculos Jobos'!$L$6*C146)*(C145)*'Cálculos Jobos'!$P$29)/'Cálculos Jobos'!$R$30)</f>
        <v>0.13689924507000001</v>
      </c>
      <c r="D148" s="514">
        <f>((('Cálculos Jobos'!$B$6*D144)*(D143)*'Cálculos Jobos'!$F$29)/'Cálculos Jobos'!$H$30)+((('Cálculos Jobos'!$L$6*D146)*(D145)*'Cálculos Jobos'!$P$29)/'Cálculos Jobos'!$R$30)</f>
        <v>9.8549075016000021E-2</v>
      </c>
      <c r="E148" s="514">
        <f>((('Cálculos Jobos'!$B$6*E144)*(E143)*'Cálculos Jobos'!$F$29)/'Cálculos Jobos'!$H$30)+((('Cálculos Jobos'!$L$6*E146)*(E145)*'Cálculos Jobos'!$P$29)/'Cálculos Jobos'!$R$30)</f>
        <v>0.27546921032399996</v>
      </c>
      <c r="F148" s="514">
        <f>((('Cálculos Jobos'!$B$6*F144)*(F143)*'Cálculos Jobos'!$F$29)/'Cálculos Jobos'!$H$30)+((('Cálculos Jobos'!$L$6*F146)*(F145)*'Cálculos Jobos'!$P$29)/'Cálculos Jobos'!$R$30)</f>
        <v>0.40139081690400003</v>
      </c>
      <c r="G148" s="514">
        <f>((('Cálculos Jobos'!$B$6*G144)*(G143)*'Cálculos Jobos'!$F$29)/'Cálculos Jobos'!$H$30)+((('Cálculos Jobos'!$L$6*G146)*(G145)*'Cálculos Jobos'!$P$29)/'Cálculos Jobos'!$R$30)</f>
        <v>0.15051643412400001</v>
      </c>
      <c r="H148" s="514">
        <f>((('Cálculos Jobos'!$B$6*H144)*(H143)*'Cálculos Jobos'!$F$29)/'Cálculos Jobos'!$H$30)+((('Cálculos Jobos'!$L$6*H146)*(H145)*'Cálculos Jobos'!$P$29)/'Cálculos Jobos'!$R$30)</f>
        <v>0.23999421272399998</v>
      </c>
      <c r="I148" s="514">
        <f>((('Cálculos Jobos'!$B$6*I144)*(I143)*'Cálculos Jobos'!$F$29)/'Cálculos Jobos'!$H$30)+((('Cálculos Jobos'!$L$6*I146)*(I145)*'Cálculos Jobos'!$P$29)/'Cálculos Jobos'!$R$30)</f>
        <v>0.25744340399400006</v>
      </c>
      <c r="J148" s="514">
        <f>((('Cálculos Jobos'!$B$6*J144)*(J143)*'Cálculos Jobos'!$F$29)/'Cálculos Jobos'!$H$30)+((('Cálculos Jobos'!$L$6*J146)*(J145)*'Cálculos Jobos'!$P$29)/'Cálculos Jobos'!$R$30)</f>
        <v>0.24242653310399997</v>
      </c>
      <c r="K148" s="514">
        <f>((('Cálculos Jobos'!$B$6*K144)*(K143)*'Cálculos Jobos'!$F$29)/'Cálculos Jobos'!$H$30)+((('Cálculos Jobos'!$L$6*K146)*(K145)*'Cálculos Jobos'!$P$29)/'Cálculos Jobos'!$R$30)</f>
        <v>0.11070306676800001</v>
      </c>
      <c r="L148" s="514">
        <f>((('Cálculos Jobos'!$B$6*L144)*(L143)*'Cálculos Jobos'!$F$29)/'Cálculos Jobos'!$H$30)+((('Cálculos Jobos'!$L$6*L146)*(L145)*'Cálculos Jobos'!$P$29)/'Cálculos Jobos'!$R$30)</f>
        <v>0.38144403360000001</v>
      </c>
      <c r="M148" s="514">
        <f>((('Cálculos Jobos'!$B$6*M144)*(M143)*'Cálculos Jobos'!$F$29)/'Cálculos Jobos'!$H$30)+((('Cálculos Jobos'!$L$6*M146)*(M145)*'Cálculos Jobos'!$P$29)/'Cálculos Jobos'!$R$30)</f>
        <v>0.27808505235000003</v>
      </c>
      <c r="N148" s="514">
        <f>((('Cálculos Jobos'!$B$6*N144)*(N143)*'Cálculos Jobos'!$F$29)/'Cálculos Jobos'!$H$30)+((('Cálculos Jobos'!$L$6*N146)*(N145)*'Cálculos Jobos'!$P$29)/'Cálculos Jobos'!$R$30)</f>
        <v>2.8090519758000001E-2</v>
      </c>
      <c r="O148" s="532">
        <f t="shared" si="22"/>
        <v>2.6010116037359996</v>
      </c>
    </row>
    <row r="149" spans="1:15" ht="21.75" customHeight="1" x14ac:dyDescent="0.2">
      <c r="A149" s="513" t="s">
        <v>20</v>
      </c>
      <c r="B149" s="513" t="s">
        <v>96</v>
      </c>
      <c r="C149" s="514">
        <f>(('Cálculos Jobos'!$B$39*(C143)*'Cálculos Jobos'!$F$39)/'Cálculos Jobos'!$H$40)+(('Cálculos Jobos'!$L$39*(C145)*'Cálculos Jobos'!$P$39)/'Cálculos Jobos'!$R$40)</f>
        <v>11.927855015999999</v>
      </c>
      <c r="D149" s="514">
        <f>(('Cálculos Jobos'!$B$39*(D143)*'Cálculos Jobos'!$F$39)/'Cálculos Jobos'!$H$40)+(('Cálculos Jobos'!$L$39*(D145)*'Cálculos Jobos'!$P$39)/'Cálculos Jobos'!$R$40)</f>
        <v>8.5864540608000013</v>
      </c>
      <c r="E149" s="514">
        <f>(('Cálculos Jobos'!$B$39*(E143)*'Cálculos Jobos'!$F$39)/'Cálculos Jobos'!$H$40)+(('Cálculos Jobos'!$L$39*(E145)*'Cálculos Jobos'!$P$39)/'Cálculos Jobos'!$R$40)</f>
        <v>24.001277731199998</v>
      </c>
      <c r="F149" s="514">
        <f>(('Cálculos Jobos'!$B$39*(F143)*'Cálculos Jobos'!$F$39)/'Cálculos Jobos'!$H$40)+(('Cálculos Jobos'!$L$39*(F145)*'Cálculos Jobos'!$P$39)/'Cálculos Jobos'!$R$40)</f>
        <v>34.972665235200004</v>
      </c>
      <c r="G149" s="514">
        <f>(('Cálculos Jobos'!$B$39*(G143)*'Cálculos Jobos'!$F$39)/'Cálculos Jobos'!$H$40)+(('Cálculos Jobos'!$L$39*(G145)*'Cálculos Jobos'!$P$39)/'Cálculos Jobos'!$R$40)</f>
        <v>13.1143031712</v>
      </c>
      <c r="H149" s="514">
        <f>(('Cálculos Jobos'!$B$39*(H143)*'Cálculos Jobos'!$F$39)/'Cálculos Jobos'!$H$40)+(('Cálculos Jobos'!$L$39*(H145)*'Cálculos Jobos'!$P$39)/'Cálculos Jobos'!$R$40)</f>
        <v>20.910386851199998</v>
      </c>
      <c r="I149" s="514">
        <f>(('Cálculos Jobos'!$B$39*(I143)*'Cálculos Jobos'!$F$39)/'Cálculos Jobos'!$H$40)+(('Cálculos Jobos'!$L$39*(I145)*'Cálculos Jobos'!$P$39)/'Cálculos Jobos'!$R$40)</f>
        <v>22.430712427200003</v>
      </c>
      <c r="J149" s="514">
        <f>(('Cálculos Jobos'!$B$39*(J143)*'Cálculos Jobos'!$F$39)/'Cálculos Jobos'!$H$40)+(('Cálculos Jobos'!$L$39*(J145)*'Cálculos Jobos'!$P$39)/'Cálculos Jobos'!$R$40)</f>
        <v>21.122311795200002</v>
      </c>
      <c r="K149" s="514">
        <f>(('Cálculos Jobos'!$B$39*(K143)*'Cálculos Jobos'!$F$39)/'Cálculos Jobos'!$H$40)+(('Cálculos Jobos'!$L$39*(K145)*'Cálculos Jobos'!$P$39)/'Cálculos Jobos'!$R$40)</f>
        <v>9.6454157184000007</v>
      </c>
      <c r="L149" s="514">
        <f>(('Cálculos Jobos'!$B$39*(L143)*'Cálculos Jobos'!$F$39)/'Cálculos Jobos'!$H$40)+(('Cálculos Jobos'!$L$39*(L145)*'Cálculos Jobos'!$P$39)/'Cálculos Jobos'!$R$40)</f>
        <v>33.234727680000006</v>
      </c>
      <c r="M149" s="514">
        <f>(('Cálculos Jobos'!$B$39*(M143)*'Cálculos Jobos'!$F$39)/'Cálculos Jobos'!$H$40)+(('Cálculos Jobos'!$L$39*(M145)*'Cálculos Jobos'!$P$39)/'Cálculos Jobos'!$R$40)</f>
        <v>24.229192680000004</v>
      </c>
      <c r="N149" s="514">
        <f>(('Cálculos Jobos'!$B$39*(N143)*'Cálculos Jobos'!$F$39)/'Cálculos Jobos'!$H$40)+(('Cálculos Jobos'!$L$39*(N145)*'Cálculos Jobos'!$P$39)/'Cálculos Jobos'!$R$40)</f>
        <v>2.4474908304</v>
      </c>
      <c r="O149" s="532">
        <f t="shared" si="22"/>
        <v>226.62279319680002</v>
      </c>
    </row>
    <row r="150" spans="1:15" ht="21.75" customHeight="1" x14ac:dyDescent="0.2">
      <c r="A150" s="513" t="s">
        <v>22</v>
      </c>
      <c r="B150" s="513" t="s">
        <v>96</v>
      </c>
      <c r="C150" s="514">
        <f>(('Cálculos Jobos'!$B$49*(C143)*'Cálculos Jobos'!$F$49)/'Cálculos Jobos'!$H$50)+(('Cálculos Jobos'!$L$49*(C145)*'Cálculos Jobos'!$P$49)/'Cálculos Jobos'!$R$50)</f>
        <v>5.5572960869999998E-3</v>
      </c>
      <c r="D150" s="514">
        <f>(('Cálculos Jobos'!$B$49*(D143)*'Cálculos Jobos'!$F$49)/'Cálculos Jobos'!$H$50)+(('Cálculos Jobos'!$L$49*(D145)*'Cálculos Jobos'!$P$49)/'Cálculos Jobos'!$R$50)</f>
        <v>4.0005070056E-3</v>
      </c>
      <c r="E150" s="514">
        <f>(('Cálculos Jobos'!$B$49*(E143)*'Cálculos Jobos'!$F$49)/'Cálculos Jobos'!$H$50)+(('Cálculos Jobos'!$L$49*(E145)*'Cálculos Jobos'!$P$49)/'Cálculos Jobos'!$R$50)</f>
        <v>1.11824134884E-2</v>
      </c>
      <c r="F150" s="514">
        <f>(('Cálculos Jobos'!$B$49*(F143)*'Cálculos Jobos'!$F$49)/'Cálculos Jobos'!$H$50)+(('Cálculos Jobos'!$L$49*(F145)*'Cálculos Jobos'!$P$49)/'Cálculos Jobos'!$R$50)</f>
        <v>1.6294082666400003E-2</v>
      </c>
      <c r="G150" s="514">
        <f>(('Cálculos Jobos'!$B$49*(G143)*'Cálculos Jobos'!$F$49)/'Cálculos Jobos'!$H$50)+(('Cálculos Jobos'!$L$49*(G145)*'Cálculos Jobos'!$P$49)/'Cálculos Jobos'!$R$50)</f>
        <v>6.1100730683999998E-3</v>
      </c>
      <c r="H150" s="514">
        <f>(('Cálculos Jobos'!$B$49*(H143)*'Cálculos Jobos'!$F$49)/'Cálculos Jobos'!$H$50)+(('Cálculos Jobos'!$L$49*(H145)*'Cálculos Jobos'!$P$49)/'Cálculos Jobos'!$R$50)</f>
        <v>9.7423393284000008E-3</v>
      </c>
      <c r="I150" s="514">
        <f>(('Cálculos Jobos'!$B$49*(I143)*'Cálculos Jobos'!$F$49)/'Cálculos Jobos'!$H$50)+(('Cálculos Jobos'!$L$49*(I145)*'Cálculos Jobos'!$P$49)/'Cálculos Jobos'!$R$50)</f>
        <v>1.04506728354E-2</v>
      </c>
      <c r="J150" s="514">
        <f>(('Cálculos Jobos'!$B$49*(J143)*'Cálculos Jobos'!$F$49)/'Cálculos Jobos'!$H$50)+(('Cálculos Jobos'!$L$49*(J145)*'Cálculos Jobos'!$P$49)/'Cálculos Jobos'!$R$50)</f>
        <v>9.8410770864000002E-3</v>
      </c>
      <c r="K150" s="514">
        <f>(('Cálculos Jobos'!$B$49*(K143)*'Cálculos Jobos'!$F$49)/'Cálculos Jobos'!$H$50)+(('Cálculos Jobos'!$L$49*(K145)*'Cálculos Jobos'!$P$49)/'Cálculos Jobos'!$R$50)</f>
        <v>4.4938868688000006E-3</v>
      </c>
      <c r="L150" s="514">
        <f>(('Cálculos Jobos'!$B$49*(L143)*'Cálculos Jobos'!$F$49)/'Cálculos Jobos'!$H$50)+(('Cálculos Jobos'!$L$49*(L145)*'Cálculos Jobos'!$P$49)/'Cálculos Jobos'!$R$50)</f>
        <v>1.5484361760000001E-2</v>
      </c>
      <c r="M150" s="514">
        <f>(('Cálculos Jobos'!$B$49*(M143)*'Cálculos Jobos'!$F$49)/'Cálculos Jobos'!$H$50)+(('Cálculos Jobos'!$L$49*(M145)*'Cálculos Jobos'!$P$49)/'Cálculos Jobos'!$R$50)</f>
        <v>1.1288601135E-2</v>
      </c>
      <c r="N150" s="514">
        <f>(('Cálculos Jobos'!$B$49*(N143)*'Cálculos Jobos'!$F$49)/'Cálculos Jobos'!$H$50)+(('Cálculos Jobos'!$L$49*(N145)*'Cálculos Jobos'!$P$49)/'Cálculos Jobos'!$R$50)</f>
        <v>1.1403082278E-3</v>
      </c>
      <c r="O150" s="532">
        <f t="shared" si="22"/>
        <v>0.1055856195576</v>
      </c>
    </row>
    <row r="151" spans="1:15" ht="21.75" customHeight="1" x14ac:dyDescent="0.2">
      <c r="A151" s="513" t="s">
        <v>21</v>
      </c>
      <c r="B151" s="513" t="s">
        <v>96</v>
      </c>
      <c r="C151" s="514">
        <f>(('Cálculos Jobos'!$B$59*(C143)*'Cálculos Jobos'!$F$59)/'Cálculos Jobos'!$H$60)+(('Cálculos Jobos'!$L$59*(C145)*'Cálculos Jobos'!$P$59)/'Cálculos Jobos'!$R$60)</f>
        <v>4.4729456310000006E-2</v>
      </c>
      <c r="D151" s="514">
        <f>(('Cálculos Jobos'!$B$59*(D143)*'Cálculos Jobos'!$F$59)/'Cálculos Jobos'!$H$60)+(('Cálculos Jobos'!$L$59*(D145)*'Cálculos Jobos'!$P$59)/'Cálculos Jobos'!$R$60)</f>
        <v>3.2199202728000004E-2</v>
      </c>
      <c r="E151" s="514">
        <f>(('Cálculos Jobos'!$B$59*(E143)*'Cálculos Jobos'!$F$59)/'Cálculos Jobos'!$H$60)+(('Cálculos Jobos'!$L$59*(E145)*'Cálculos Jobos'!$P$59)/'Cálculos Jobos'!$R$60)</f>
        <v>9.0004791491999997E-2</v>
      </c>
      <c r="F151" s="514">
        <f>(('Cálculos Jobos'!$B$59*(F143)*'Cálculos Jobos'!$F$59)/'Cálculos Jobos'!$H$60)+(('Cálculos Jobos'!$L$59*(F145)*'Cálculos Jobos'!$P$59)/'Cálculos Jobos'!$R$60)</f>
        <v>0.13114749463200001</v>
      </c>
      <c r="G151" s="514">
        <f>(('Cálculos Jobos'!$B$59*(G143)*'Cálculos Jobos'!$F$59)/'Cálculos Jobos'!$H$60)+(('Cálculos Jobos'!$L$59*(G145)*'Cálculos Jobos'!$P$59)/'Cálculos Jobos'!$R$60)</f>
        <v>4.9178636891999999E-2</v>
      </c>
      <c r="H151" s="514">
        <f>(('Cálculos Jobos'!$B$59*(H143)*'Cálculos Jobos'!$F$59)/'Cálculos Jobos'!$H$60)+(('Cálculos Jobos'!$L$59*(H145)*'Cálculos Jobos'!$P$59)/'Cálculos Jobos'!$R$60)</f>
        <v>7.8413950691999981E-2</v>
      </c>
      <c r="I151" s="514">
        <f>(('Cálculos Jobos'!$B$59*(I143)*'Cálculos Jobos'!$F$59)/'Cálculos Jobos'!$H$60)+(('Cálculos Jobos'!$L$59*(I145)*'Cálculos Jobos'!$P$59)/'Cálculos Jobos'!$R$60)</f>
        <v>8.4115171602000008E-2</v>
      </c>
      <c r="J151" s="514">
        <f>(('Cálculos Jobos'!$B$59*(J143)*'Cálculos Jobos'!$F$59)/'Cálculos Jobos'!$H$60)+(('Cálculos Jobos'!$L$59*(J145)*'Cálculos Jobos'!$P$59)/'Cálculos Jobos'!$R$60)</f>
        <v>7.9208669232000012E-2</v>
      </c>
      <c r="K151" s="514">
        <f>(('Cálculos Jobos'!$B$59*(K143)*'Cálculos Jobos'!$F$59)/'Cálculos Jobos'!$H$60)+(('Cálculos Jobos'!$L$59*(K145)*'Cálculos Jobos'!$P$59)/'Cálculos Jobos'!$R$60)</f>
        <v>3.6170308944000001E-2</v>
      </c>
      <c r="L151" s="514">
        <f>(('Cálculos Jobos'!$B$59*(L143)*'Cálculos Jobos'!$F$59)/'Cálculos Jobos'!$H$60)+(('Cálculos Jobos'!$L$59*(L145)*'Cálculos Jobos'!$P$59)/'Cálculos Jobos'!$R$60)</f>
        <v>0.12463022880000001</v>
      </c>
      <c r="M151" s="514">
        <f>(('Cálculos Jobos'!$B$59*(M143)*'Cálculos Jobos'!$F$59)/'Cálculos Jobos'!$H$60)+(('Cálculos Jobos'!$L$59*(M145)*'Cálculos Jobos'!$P$59)/'Cálculos Jobos'!$R$60)</f>
        <v>9.0859472550000001E-2</v>
      </c>
      <c r="N151" s="514">
        <f>(('Cálculos Jobos'!$B$59*(N143)*'Cálculos Jobos'!$F$59)/'Cálculos Jobos'!$H$60)+(('Cálculos Jobos'!$L$59*(N145)*'Cálculos Jobos'!$P$59)/'Cálculos Jobos'!$R$60)</f>
        <v>9.178090614E-3</v>
      </c>
      <c r="O151" s="532">
        <f t="shared" si="22"/>
        <v>0.8498354744879999</v>
      </c>
    </row>
    <row r="152" spans="1:15" ht="21.75" customHeight="1" x14ac:dyDescent="0.2">
      <c r="A152" s="513" t="s">
        <v>23</v>
      </c>
      <c r="B152" s="513" t="s">
        <v>96</v>
      </c>
      <c r="C152" s="519">
        <f>(('Cálculos Jobos'!$B$69*(C143)*'Cálculos Jobos'!$F$69)/'Cálculos Jobos'!$H$70)+(('Cálculos Jobos'!$L$69*(C145)*'Cálculos Jobos'!$P$69)/'Cálculos Jobos'!$R$70)</f>
        <v>1.8976132980000001E-4</v>
      </c>
      <c r="D152" s="519">
        <f>(('Cálculos Jobos'!$B$69*(D143)*'Cálculos Jobos'!$F$69)/'Cálculos Jobos'!$H$70)+(('Cálculos Jobos'!$L$69*(D145)*'Cálculos Jobos'!$P$69)/'Cálculos Jobos'!$R$70)</f>
        <v>1.3660267824000002E-4</v>
      </c>
      <c r="E152" s="519">
        <f>(('Cálculos Jobos'!$B$69*(E143)*'Cálculos Jobos'!$F$69)/'Cálculos Jobos'!$H$70)+(('Cálculos Jobos'!$L$69*(E145)*'Cálculos Jobos'!$P$69)/'Cálculos Jobos'!$R$70)</f>
        <v>3.8183850936000005E-4</v>
      </c>
      <c r="F152" s="519">
        <f>(('Cálculos Jobos'!$B$69*(F143)*'Cálculos Jobos'!$F$69)/'Cálculos Jobos'!$H$70)+(('Cálculos Jobos'!$L$69*(F145)*'Cálculos Jobos'!$P$69)/'Cálculos Jobos'!$R$70)</f>
        <v>5.5638331056000005E-4</v>
      </c>
      <c r="G152" s="519">
        <f>(('Cálculos Jobos'!$B$69*(G143)*'Cálculos Jobos'!$F$69)/'Cálculos Jobos'!$H$70)+(('Cálculos Jobos'!$L$69*(G145)*'Cálculos Jobos'!$P$69)/'Cálculos Jobos'!$R$70)</f>
        <v>2.0863664136000002E-4</v>
      </c>
      <c r="H152" s="519">
        <f>(('Cálculos Jobos'!$B$69*(H143)*'Cálculos Jobos'!$F$69)/'Cálculos Jobos'!$H$70)+(('Cálculos Jobos'!$L$69*(H145)*'Cálculos Jobos'!$P$69)/'Cálculos Jobos'!$R$70)</f>
        <v>3.3266524536E-4</v>
      </c>
      <c r="I152" s="519">
        <f>(('Cálculos Jobos'!$B$69*(I143)*'Cálculos Jobos'!$F$69)/'Cálculos Jobos'!$H$70)+(('Cálculos Jobos'!$L$69*(I145)*'Cálculos Jobos'!$P$69)/'Cálculos Jobos'!$R$70)</f>
        <v>3.5685224316000001E-4</v>
      </c>
      <c r="J152" s="519">
        <f>(('Cálculos Jobos'!$B$69*(J143)*'Cálculos Jobos'!$F$69)/'Cálculos Jobos'!$H$70)+(('Cálculos Jobos'!$L$69*(J145)*'Cálculos Jobos'!$P$69)/'Cálculos Jobos'!$R$70)</f>
        <v>3.3603677856E-4</v>
      </c>
      <c r="K152" s="519">
        <f>(('Cálculos Jobos'!$B$69*(K143)*'Cálculos Jobos'!$F$69)/'Cálculos Jobos'!$H$70)+(('Cálculos Jobos'!$L$69*(K145)*'Cálculos Jobos'!$P$69)/'Cálculos Jobos'!$R$70)</f>
        <v>1.5344979552000003E-4</v>
      </c>
      <c r="L152" s="519">
        <f>(('Cálculos Jobos'!$B$69*(L143)*'Cálculos Jobos'!$F$69)/'Cálculos Jobos'!$H$70)+(('Cálculos Jobos'!$L$69*(L145)*'Cálculos Jobos'!$P$69)/'Cálculos Jobos'!$R$70)</f>
        <v>5.2873430400000008E-4</v>
      </c>
      <c r="M152" s="519">
        <f>(('Cálculos Jobos'!$B$69*(M143)*'Cálculos Jobos'!$F$69)/'Cálculos Jobos'!$H$70)+(('Cálculos Jobos'!$L$69*(M145)*'Cálculos Jobos'!$P$69)/'Cálculos Jobos'!$R$70)</f>
        <v>3.8546442899999999E-4</v>
      </c>
      <c r="N152" s="519">
        <f>(('Cálculos Jobos'!$B$69*(N143)*'Cálculos Jobos'!$F$69)/'Cálculos Jobos'!$H$70)+(('Cálculos Jobos'!$L$69*(N145)*'Cálculos Jobos'!$P$69)/'Cálculos Jobos'!$R$70)</f>
        <v>3.8937354120000003E-5</v>
      </c>
      <c r="O152" s="533">
        <f t="shared" si="22"/>
        <v>3.6053626190399998E-3</v>
      </c>
    </row>
    <row r="153" spans="1:15" ht="21.75" customHeight="1" x14ac:dyDescent="0.2">
      <c r="A153" s="513" t="s">
        <v>24</v>
      </c>
      <c r="B153" s="513" t="s">
        <v>96</v>
      </c>
      <c r="C153" s="514">
        <f>('Cálculos Jobos'!$B$79*((C143))/'Cálculos Jobos'!$F$80)+('Cálculos Jobos'!$L$79*((C145))/'Cálculos Jobos'!$P$80)</f>
        <v>2217.6558581186628</v>
      </c>
      <c r="D153" s="514">
        <f>('Cálculos Jobos'!$B$79*((D143))/'Cálculos Jobos'!$F$80)+('Cálculos Jobos'!$L$79*((D145))/'Cálculos Jobos'!$P$80)</f>
        <v>1596.4144536345616</v>
      </c>
      <c r="E153" s="514">
        <f>('Cálculos Jobos'!$B$79*((E143))/'Cálculos Jobos'!$F$80)+('Cálculos Jobos'!$L$79*((E145))/'Cálculos Jobos'!$P$80)</f>
        <v>4462.3760174424215</v>
      </c>
      <c r="F153" s="514">
        <f>('Cálculos Jobos'!$B$79*((F143))/'Cálculos Jobos'!$F$80)+('Cálculos Jobos'!$L$79*((F145))/'Cálculos Jobos'!$P$80)</f>
        <v>6502.2031059925648</v>
      </c>
      <c r="G153" s="514">
        <f>('Cálculos Jobos'!$B$79*((G143))/'Cálculos Jobos'!$F$80)+('Cálculos Jobos'!$L$79*((G145))/'Cálculos Jobos'!$P$80)</f>
        <v>2438.2431890515059</v>
      </c>
      <c r="H153" s="514">
        <f>('Cálculos Jobos'!$B$79*((H143))/'Cálculos Jobos'!$F$80)+('Cálculos Jobos'!$L$79*((H145))/'Cálculos Jobos'!$P$80)</f>
        <v>3887.7100563251124</v>
      </c>
      <c r="I153" s="514">
        <f>('Cálculos Jobos'!$B$79*((I143))/'Cálculos Jobos'!$F$80)+('Cálculos Jobos'!$L$79*((I145))/'Cálculos Jobos'!$P$80)</f>
        <v>4170.3726905826079</v>
      </c>
      <c r="J153" s="514">
        <f>('Cálculos Jobos'!$B$79*((J143))/'Cálculos Jobos'!$F$80)+('Cálculos Jobos'!$L$79*((J145))/'Cálculos Jobos'!$P$80)</f>
        <v>3927.1116581145916</v>
      </c>
      <c r="K153" s="514">
        <f>('Cálculos Jobos'!$B$79*((K143))/'Cálculos Jobos'!$F$80)+('Cálculos Jobos'!$L$79*((K145))/'Cálculos Jobos'!$P$80)</f>
        <v>1793.2991844054782</v>
      </c>
      <c r="L153" s="514">
        <f>('Cálculos Jobos'!$B$79*((L143))/'Cálculos Jobos'!$F$80)+('Cálculos Jobos'!$L$79*((L145))/'Cálculos Jobos'!$P$80)</f>
        <v>6179.0815225088818</v>
      </c>
      <c r="M153" s="514">
        <f>('Cálculos Jobos'!$B$79*((M143))/'Cálculos Jobos'!$F$80)+('Cálculos Jobos'!$L$79*((M145))/'Cálculos Jobos'!$P$80)</f>
        <v>4504.7505198723338</v>
      </c>
      <c r="N153" s="514">
        <f>('Cálculos Jobos'!$B$79*((N143))/'Cálculos Jobos'!$F$80)+('Cálculos Jobos'!$L$79*((N145))/'Cálculos Jobos'!$P$80)</f>
        <v>455.04345671938296</v>
      </c>
      <c r="O153" s="532">
        <f t="shared" si="22"/>
        <v>42134.261712768108</v>
      </c>
    </row>
    <row r="154" spans="1:15" ht="31.5" customHeight="1" x14ac:dyDescent="0.2">
      <c r="A154" s="609" t="s">
        <v>45</v>
      </c>
      <c r="B154" s="609"/>
      <c r="C154" s="525"/>
      <c r="D154" s="525"/>
      <c r="E154" s="525"/>
      <c r="F154" s="525"/>
      <c r="G154" s="525"/>
      <c r="H154" s="525"/>
      <c r="I154" s="525"/>
      <c r="J154" s="525"/>
      <c r="K154" s="525"/>
      <c r="L154" s="525"/>
      <c r="M154" s="525"/>
      <c r="N154" s="525"/>
      <c r="O154" s="525"/>
    </row>
    <row r="155" spans="1:15" ht="21.75" hidden="1" customHeight="1" x14ac:dyDescent="0.2">
      <c r="A155" s="513" t="s">
        <v>418</v>
      </c>
      <c r="B155" s="513" t="s">
        <v>94</v>
      </c>
      <c r="C155" s="526">
        <f>Turbinas!$B$24*42</f>
        <v>1044618.12</v>
      </c>
      <c r="D155" s="526">
        <f>Turbinas!$B$25*42</f>
        <v>76233.36</v>
      </c>
      <c r="E155" s="526">
        <f>Turbinas!$B$26*42</f>
        <v>0</v>
      </c>
      <c r="F155" s="526">
        <f>Turbinas!$B$27*42</f>
        <v>0</v>
      </c>
      <c r="G155" s="526">
        <f>Turbinas!$B$28*42</f>
        <v>0</v>
      </c>
      <c r="H155" s="526">
        <f>Turbinas!$B$29*42</f>
        <v>0</v>
      </c>
      <c r="I155" s="526">
        <f>Turbinas!$B$30*42</f>
        <v>0</v>
      </c>
      <c r="J155" s="526">
        <f>Turbinas!$B$31*42</f>
        <v>0</v>
      </c>
      <c r="K155" s="526">
        <f>Turbinas!$B$32*42</f>
        <v>0</v>
      </c>
      <c r="L155" s="526">
        <f>Turbinas!$B$33*42</f>
        <v>0</v>
      </c>
      <c r="M155" s="526">
        <f>Turbinas!$B$34*42</f>
        <v>0</v>
      </c>
      <c r="N155" s="526">
        <f>Turbinas!$B$35*42</f>
        <v>0</v>
      </c>
      <c r="O155" s="527">
        <f>SUM(C155:N155)</f>
        <v>1120851.48</v>
      </c>
    </row>
    <row r="156" spans="1:15" ht="21.75" hidden="1" customHeight="1" x14ac:dyDescent="0.2">
      <c r="A156" s="513" t="s">
        <v>419</v>
      </c>
      <c r="B156" s="513" t="s">
        <v>383</v>
      </c>
      <c r="C156" s="530">
        <f>Turbinas!$Y$6</f>
        <v>0.01</v>
      </c>
      <c r="D156" s="530">
        <f>Turbinas!$Y$7</f>
        <v>0.01</v>
      </c>
      <c r="E156" s="530">
        <f>Turbinas!$Y$8</f>
        <v>0.01</v>
      </c>
      <c r="F156" s="530">
        <f>Turbinas!$Y$9</f>
        <v>0.01</v>
      </c>
      <c r="G156" s="530">
        <f>Turbinas!$Y$10</f>
        <v>0.01</v>
      </c>
      <c r="H156" s="530">
        <f>Turbinas!$Y$11</f>
        <v>0.01</v>
      </c>
      <c r="I156" s="530">
        <f>Turbinas!$Y$12</f>
        <v>0.01</v>
      </c>
      <c r="J156" s="530">
        <f>Turbinas!$Y$13</f>
        <v>0.01</v>
      </c>
      <c r="K156" s="530">
        <f>Turbinas!$Y$14</f>
        <v>0.01</v>
      </c>
      <c r="L156" s="530">
        <f>Turbinas!$Y$15</f>
        <v>0.01</v>
      </c>
      <c r="M156" s="530">
        <f>Turbinas!$Y$16</f>
        <v>0.01</v>
      </c>
      <c r="N156" s="530">
        <f>Turbinas!$Y$17</f>
        <v>0.01</v>
      </c>
      <c r="O156" s="531">
        <f>IF(O155=0,0,SUMPRODUCT(C156:N156,C155:N155)/O155)</f>
        <v>0.01</v>
      </c>
    </row>
    <row r="157" spans="1:15" ht="21.75" hidden="1" customHeight="1" x14ac:dyDescent="0.2">
      <c r="A157" s="513" t="s">
        <v>420</v>
      </c>
      <c r="B157" s="513" t="s">
        <v>94</v>
      </c>
      <c r="C157" s="526">
        <f>Turbinas!$C$24*42</f>
        <v>1189035.96</v>
      </c>
      <c r="D157" s="526">
        <f>Turbinas!$C$25*42</f>
        <v>771681.53999999992</v>
      </c>
      <c r="E157" s="526">
        <f>Turbinas!$C$26*42</f>
        <v>960884.4</v>
      </c>
      <c r="F157" s="526">
        <f>Turbinas!$C$27*42</f>
        <v>862711.91999999993</v>
      </c>
      <c r="G157" s="526">
        <f>Turbinas!$C$28*42</f>
        <v>229514.88</v>
      </c>
      <c r="H157" s="526">
        <f>Turbinas!$C$29*42</f>
        <v>313946.21999999997</v>
      </c>
      <c r="I157" s="526">
        <f>Turbinas!$C$30*42</f>
        <v>0</v>
      </c>
      <c r="J157" s="526">
        <f>Turbinas!$C$31*42</f>
        <v>0</v>
      </c>
      <c r="K157" s="526">
        <f>Turbinas!$C$32*42</f>
        <v>0</v>
      </c>
      <c r="L157" s="526">
        <f>Turbinas!$C$33*42</f>
        <v>0</v>
      </c>
      <c r="M157" s="526">
        <f>Turbinas!$C$34*42</f>
        <v>0</v>
      </c>
      <c r="N157" s="526">
        <f>Turbinas!$C$35*42</f>
        <v>0</v>
      </c>
      <c r="O157" s="527">
        <f>SUM(C157:N157)</f>
        <v>4327774.92</v>
      </c>
    </row>
    <row r="158" spans="1:15" ht="21.75" hidden="1" customHeight="1" x14ac:dyDescent="0.2">
      <c r="A158" s="513" t="s">
        <v>421</v>
      </c>
      <c r="B158" s="513" t="s">
        <v>383</v>
      </c>
      <c r="C158" s="530">
        <f>Turbinas!$Z$6</f>
        <v>0.01</v>
      </c>
      <c r="D158" s="530">
        <f>Turbinas!$Z$7</f>
        <v>0.01</v>
      </c>
      <c r="E158" s="530">
        <f>Turbinas!$Z$8</f>
        <v>0.01</v>
      </c>
      <c r="F158" s="530">
        <f>Turbinas!$Z$9</f>
        <v>0.01</v>
      </c>
      <c r="G158" s="530">
        <f>Turbinas!$Z$10</f>
        <v>0.01</v>
      </c>
      <c r="H158" s="530">
        <f>Turbinas!$Z$11</f>
        <v>0.01</v>
      </c>
      <c r="I158" s="530">
        <f>Turbinas!$Z$12</f>
        <v>0.01</v>
      </c>
      <c r="J158" s="530">
        <f>Turbinas!$Z$13</f>
        <v>0.01</v>
      </c>
      <c r="K158" s="530">
        <f>Turbinas!$Z$14</f>
        <v>0.01</v>
      </c>
      <c r="L158" s="530">
        <f>Turbinas!$Z$15</f>
        <v>0.01</v>
      </c>
      <c r="M158" s="530">
        <f>Turbinas!$Z$16</f>
        <v>0.01</v>
      </c>
      <c r="N158" s="530">
        <f>Turbinas!$Z$17</f>
        <v>0.01</v>
      </c>
      <c r="O158" s="531">
        <f>IF(O157=0,0,SUMPRODUCT(C158:N158,C157:N157)/O157)</f>
        <v>1.0000000000000002E-2</v>
      </c>
    </row>
    <row r="159" spans="1:15" ht="21.75" hidden="1" customHeight="1" x14ac:dyDescent="0.2">
      <c r="A159" s="513" t="s">
        <v>422</v>
      </c>
      <c r="B159" s="513" t="s">
        <v>94</v>
      </c>
      <c r="C159" s="526">
        <f>Turbinas!$D$24*42</f>
        <v>533100.96</v>
      </c>
      <c r="D159" s="526">
        <f>Turbinas!$D$25*42</f>
        <v>272749.68</v>
      </c>
      <c r="E159" s="526">
        <f>Turbinas!$D$26*42</f>
        <v>371910.84</v>
      </c>
      <c r="F159" s="526">
        <f>Turbinas!$D$27*42</f>
        <v>413833.98000000004</v>
      </c>
      <c r="G159" s="526">
        <f>Turbinas!$D$28*42</f>
        <v>105466.62000000001</v>
      </c>
      <c r="H159" s="526">
        <f>Turbinas!$D$29*42</f>
        <v>148985.76</v>
      </c>
      <c r="I159" s="526">
        <f>Turbinas!$D$30*42</f>
        <v>209464.5</v>
      </c>
      <c r="J159" s="526">
        <f>Turbinas!$D$31*42</f>
        <v>206132.22</v>
      </c>
      <c r="K159" s="526">
        <f>Turbinas!$D$32*42</f>
        <v>71322.720000000001</v>
      </c>
      <c r="L159" s="526">
        <f>Turbinas!$D$33*42</f>
        <v>241586.52000000002</v>
      </c>
      <c r="M159" s="526">
        <f>Turbinas!$D$34*42</f>
        <v>233104.2</v>
      </c>
      <c r="N159" s="526">
        <f>Turbinas!$D$35*42</f>
        <v>452184.6</v>
      </c>
      <c r="O159" s="527">
        <f>SUM(C159:N159)</f>
        <v>3259842.6000000006</v>
      </c>
    </row>
    <row r="160" spans="1:15" ht="21.75" hidden="1" customHeight="1" x14ac:dyDescent="0.2">
      <c r="A160" s="513" t="s">
        <v>423</v>
      </c>
      <c r="B160" s="513" t="s">
        <v>383</v>
      </c>
      <c r="C160" s="530">
        <f>Turbinas!$AA$6</f>
        <v>0.01</v>
      </c>
      <c r="D160" s="530">
        <f>Turbinas!$AA$7</f>
        <v>0.01</v>
      </c>
      <c r="E160" s="530">
        <f>Turbinas!$AA$8</f>
        <v>0.01</v>
      </c>
      <c r="F160" s="530">
        <f>Turbinas!$AA$9</f>
        <v>0.01</v>
      </c>
      <c r="G160" s="530">
        <f>Turbinas!$AA$10</f>
        <v>0.01</v>
      </c>
      <c r="H160" s="530">
        <f>Turbinas!$AA$11</f>
        <v>0.01</v>
      </c>
      <c r="I160" s="530">
        <f>Turbinas!$AA$12</f>
        <v>0.01</v>
      </c>
      <c r="J160" s="530">
        <f>Turbinas!$AA$13</f>
        <v>0.01</v>
      </c>
      <c r="K160" s="530">
        <f>Turbinas!$AA$14</f>
        <v>0.01</v>
      </c>
      <c r="L160" s="530">
        <f>Turbinas!$AA$15</f>
        <v>0.01</v>
      </c>
      <c r="M160" s="530">
        <f>Turbinas!$AA$16</f>
        <v>0.01</v>
      </c>
      <c r="N160" s="530">
        <f>Turbinas!$AA$17</f>
        <v>0.01</v>
      </c>
      <c r="O160" s="531">
        <f>IF(O159=0,0,SUMPRODUCT(C160:N160,C159:N159)/O159)</f>
        <v>9.9999999999999985E-3</v>
      </c>
    </row>
    <row r="161" spans="1:15" ht="21.75" hidden="1" customHeight="1" x14ac:dyDescent="0.2">
      <c r="A161" s="513" t="s">
        <v>424</v>
      </c>
      <c r="B161" s="513" t="s">
        <v>94</v>
      </c>
      <c r="C161" s="526">
        <f>Turbinas!$E$24*42</f>
        <v>573285.29999999993</v>
      </c>
      <c r="D161" s="526">
        <f>Turbinas!$E$25*42</f>
        <v>330823.5</v>
      </c>
      <c r="E161" s="526">
        <f>Turbinas!$E$26*42</f>
        <v>381913.14</v>
      </c>
      <c r="F161" s="526">
        <f>Turbinas!$E$27*42</f>
        <v>394991.51999999996</v>
      </c>
      <c r="G161" s="526">
        <f>Turbinas!$E$28*42</f>
        <v>94283.7</v>
      </c>
      <c r="H161" s="526">
        <f>Turbinas!$E$29*42</f>
        <v>142734.48000000001</v>
      </c>
      <c r="I161" s="526">
        <f>Turbinas!$E$30*42</f>
        <v>211056.72</v>
      </c>
      <c r="J161" s="526">
        <f>Turbinas!$E$31*42</f>
        <v>203694.96</v>
      </c>
      <c r="K161" s="526">
        <f>Turbinas!$E$32*42</f>
        <v>74997.72</v>
      </c>
      <c r="L161" s="526">
        <f>Turbinas!$E$33*42</f>
        <v>247604.28</v>
      </c>
      <c r="M161" s="526">
        <f>Turbinas!$E$34*42</f>
        <v>238656.6</v>
      </c>
      <c r="N161" s="526">
        <f>Turbinas!$E$35*42</f>
        <v>453960.78</v>
      </c>
      <c r="O161" s="527">
        <f>SUM(C161:N161)</f>
        <v>3348002.7</v>
      </c>
    </row>
    <row r="162" spans="1:15" ht="21.75" hidden="1" customHeight="1" x14ac:dyDescent="0.2">
      <c r="A162" s="513" t="s">
        <v>425</v>
      </c>
      <c r="B162" s="513" t="s">
        <v>383</v>
      </c>
      <c r="C162" s="530">
        <f>Turbinas!$AB$6</f>
        <v>0.01</v>
      </c>
      <c r="D162" s="530">
        <f>Turbinas!$AB$7</f>
        <v>0.01</v>
      </c>
      <c r="E162" s="530">
        <f>Turbinas!$AB$8</f>
        <v>0.01</v>
      </c>
      <c r="F162" s="530">
        <f>Turbinas!$AB$9</f>
        <v>0.01</v>
      </c>
      <c r="G162" s="530">
        <f>Turbinas!$AB$10</f>
        <v>0.01</v>
      </c>
      <c r="H162" s="530">
        <f>Turbinas!$AB$11</f>
        <v>0.01</v>
      </c>
      <c r="I162" s="530">
        <f>Turbinas!$AB$12</f>
        <v>0.01</v>
      </c>
      <c r="J162" s="530">
        <f>Turbinas!$AB$13</f>
        <v>0.01</v>
      </c>
      <c r="K162" s="530">
        <f>Turbinas!$AB$14</f>
        <v>0.01</v>
      </c>
      <c r="L162" s="530">
        <f>Turbinas!$AB$15</f>
        <v>0.01</v>
      </c>
      <c r="M162" s="530">
        <f>Turbinas!$AB$16</f>
        <v>0.01</v>
      </c>
      <c r="N162" s="530">
        <f>Turbinas!$AB$17</f>
        <v>0.01</v>
      </c>
      <c r="O162" s="531">
        <f>IF(O161=0,0,SUMPRODUCT(C162:N162,C161:N161)/O161)</f>
        <v>0.01</v>
      </c>
    </row>
    <row r="163" spans="1:15" ht="21.75" customHeight="1" x14ac:dyDescent="0.2">
      <c r="A163" s="513" t="s">
        <v>17</v>
      </c>
      <c r="B163" s="513" t="s">
        <v>96</v>
      </c>
      <c r="C163" s="514">
        <f>(('Cálculos Mayagüez'!$B$18*(C155)*'Cálculos Mayagüez'!$F$18)/'Cálculos Mayagüez'!$H$19)+(('Cálculos Mayagüez'!$L$18*(C157)*'Cálculos Mayagüez'!$P$18)/'Cálculos Mayagüez'!$R$19)+(('Cálculos Mayagüez'!$V$18*(C159)*'Cálculos Mayagüez'!$Z$18)/'Cálculos Mayagüez'!$AB$19)+(('Cálculos Mayagüez'!$AF$18*(C161)*'Cálculos Mayagüez'!$AJ$18)/'Cálculos Mayagüez'!$AL$19)</f>
        <v>2.7655534015200005</v>
      </c>
      <c r="D163" s="514">
        <f>(('Cálculos Mayagüez'!$B$18*(D155)*'Cálculos Mayagüez'!$F$18)/'Cálculos Mayagüez'!$H$19)+(('Cálculos Mayagüez'!$L$18*(D157)*'Cálculos Mayagüez'!$P$18)/'Cálculos Mayagüez'!$R$19)+(('Cálculos Mayagüez'!$V$18*(D159)*'Cálculos Mayagüez'!$Z$18)/'Cálculos Mayagüez'!$AB$19)+(('Cálculos Mayagüez'!$AF$18*(D161)*'Cálculos Mayagüez'!$AJ$18)/'Cálculos Mayagüez'!$AL$19)</f>
        <v>1.2018321302400001</v>
      </c>
      <c r="E163" s="514">
        <f>(('Cálculos Mayagüez'!$B$18*(E155)*'Cálculos Mayagüez'!$F$18)/'Cálculos Mayagüez'!$H$19)+(('Cálculos Mayagüez'!$L$18*(E157)*'Cálculos Mayagüez'!$P$18)/'Cálculos Mayagüez'!$R$19)+(('Cálculos Mayagüez'!$V$18*(E159)*'Cálculos Mayagüez'!$Z$18)/'Cálculos Mayagüez'!$AB$19)+(('Cálculos Mayagüez'!$AF$18*(E161)*'Cálculos Mayagüez'!$AJ$18)/'Cálculos Mayagüez'!$AL$19)</f>
        <v>1.4197785386400001</v>
      </c>
      <c r="F163" s="514">
        <f>(('Cálculos Mayagüez'!$B$18*(F155)*'Cálculos Mayagüez'!$F$18)/'Cálculos Mayagüez'!$H$19)+(('Cálculos Mayagüez'!$L$18*(F157)*'Cálculos Mayagüez'!$P$18)/'Cálculos Mayagüez'!$R$19)+(('Cálculos Mayagüez'!$V$18*(F159)*'Cálculos Mayagüez'!$Z$18)/'Cálculos Mayagüez'!$AB$19)+(('Cálculos Mayagüez'!$AF$18*(F161)*'Cálculos Mayagüez'!$AJ$18)/'Cálculos Mayagüez'!$AL$19)</f>
        <v>1.3840329837600001</v>
      </c>
      <c r="G163" s="514">
        <f>(('Cálculos Mayagüez'!$B$18*(G155)*'Cálculos Mayagüez'!$F$18)/'Cálculos Mayagüez'!$H$19)+(('Cálculos Mayagüez'!$L$18*(G157)*'Cálculos Mayagüez'!$P$18)/'Cálculos Mayagüez'!$R$19)+(('Cálculos Mayagüez'!$V$18*(G159)*'Cálculos Mayagüez'!$Z$18)/'Cálculos Mayagüez'!$AB$19)+(('Cálculos Mayagüez'!$AF$18*(G161)*'Cálculos Mayagüez'!$AJ$18)/'Cálculos Mayagüez'!$AL$19)</f>
        <v>0.3554315856000001</v>
      </c>
      <c r="H163" s="514">
        <f>(('Cálculos Mayagüez'!$B$18*(H155)*'Cálculos Mayagüez'!$F$18)/'Cálculos Mayagüez'!$H$19)+(('Cálculos Mayagüez'!$L$18*(H157)*'Cálculos Mayagüez'!$P$18)/'Cálculos Mayagüez'!$R$19)+(('Cálculos Mayagüez'!$V$18*(H159)*'Cálculos Mayagüez'!$Z$18)/'Cálculos Mayagüez'!$AB$19)+(('Cálculos Mayagüez'!$AF$18*(H161)*'Cálculos Mayagüez'!$AJ$18)/'Cálculos Mayagüez'!$AL$19)</f>
        <v>0.50149182887999999</v>
      </c>
      <c r="I163" s="514">
        <f>(('Cálculos Mayagüez'!$B$18*(I155)*'Cálculos Mayagüez'!$F$18)/'Cálculos Mayagüez'!$H$19)+(('Cálculos Mayagüez'!$L$18*(I157)*'Cálculos Mayagüez'!$P$18)/'Cálculos Mayagüez'!$R$19)+(('Cálculos Mayagüez'!$V$18*(I159)*'Cálculos Mayagüez'!$Z$18)/'Cálculos Mayagüez'!$AB$19)+(('Cálculos Mayagüez'!$AF$18*(I161)*'Cálculos Mayagüez'!$AJ$18)/'Cálculos Mayagüez'!$AL$19)</f>
        <v>0.34819157016000002</v>
      </c>
      <c r="J163" s="514">
        <f>(('Cálculos Mayagüez'!$B$18*(J155)*'Cálculos Mayagüez'!$F$18)/'Cálculos Mayagüez'!$H$19)+(('Cálculos Mayagüez'!$L$18*(J157)*'Cálculos Mayagüez'!$P$18)/'Cálculos Mayagüez'!$R$19)+(('Cálculos Mayagüez'!$V$18*(J159)*'Cálculos Mayagüez'!$Z$18)/'Cálculos Mayagüez'!$AB$19)+(('Cálculos Mayagüez'!$AF$18*(J161)*'Cálculos Mayagüez'!$AJ$18)/'Cálculos Mayagüez'!$AL$19)</f>
        <v>0.33933690504000003</v>
      </c>
      <c r="K163" s="514">
        <f>(('Cálculos Mayagüez'!$B$18*(K155)*'Cálculos Mayagüez'!$F$18)/'Cálculos Mayagüez'!$H$19)+(('Cálculos Mayagüez'!$L$18*(K157)*'Cálculos Mayagüez'!$P$18)/'Cálculos Mayagüez'!$R$19)+(('Cálculos Mayagüez'!$V$18*(K159)*'Cálculos Mayagüez'!$Z$18)/'Cálculos Mayagüez'!$AB$19)+(('Cálculos Mayagüez'!$AF$18*(K161)*'Cálculos Mayagüez'!$AJ$18)/'Cálculos Mayagüez'!$AL$19)</f>
        <v>0.12115332432000001</v>
      </c>
      <c r="L163" s="514">
        <f>(('Cálculos Mayagüez'!$B$18*(L155)*'Cálculos Mayagüez'!$F$18)/'Cálculos Mayagüez'!$H$19)+(('Cálculos Mayagüez'!$L$18*(L157)*'Cálculos Mayagüez'!$P$18)/'Cálculos Mayagüez'!$R$19)+(('Cálculos Mayagüez'!$V$18*(L159)*'Cálculos Mayagüez'!$Z$18)/'Cálculos Mayagüez'!$AB$19)+(('Cálculos Mayagüez'!$AF$18*(L161)*'Cálculos Mayagüez'!$AJ$18)/'Cálculos Mayagüez'!$AL$19)</f>
        <v>0.40504998240000006</v>
      </c>
      <c r="M163" s="514">
        <f>(('Cálculos Mayagüez'!$B$18*(M155)*'Cálculos Mayagüez'!$F$18)/'Cálculos Mayagüez'!$H$19)+(('Cálculos Mayagüez'!$L$18*(M157)*'Cálculos Mayagüez'!$P$18)/'Cálculos Mayagüez'!$R$19)+(('Cálculos Mayagüez'!$V$18*(M159)*'Cálculos Mayagüez'!$Z$18)/'Cálculos Mayagüez'!$AB$19)+(('Cálculos Mayagüez'!$AF$18*(M161)*'Cálculos Mayagüez'!$AJ$18)/'Cálculos Mayagüez'!$AL$19)</f>
        <v>0.39061794240000008</v>
      </c>
      <c r="N163" s="514">
        <f>(('Cálculos Mayagüez'!$B$18*(N155)*'Cálculos Mayagüez'!$F$18)/'Cálculos Mayagüez'!$H$19)+(('Cálculos Mayagüez'!$L$18*(N157)*'Cálculos Mayagüez'!$P$18)/'Cálculos Mayagüez'!$R$19)+(('Cálculos Mayagüez'!$V$18*(N159)*'Cálculos Mayagüez'!$Z$18)/'Cálculos Mayagüez'!$AB$19)+(('Cálculos Mayagüez'!$AF$18*(N161)*'Cálculos Mayagüez'!$AJ$18)/'Cálculos Mayagüez'!$AL$19)</f>
        <v>0.75028837463999998</v>
      </c>
      <c r="O163" s="532">
        <f t="shared" ref="O163:O169" si="23">SUM(C163:N163)</f>
        <v>9.9827585676000012</v>
      </c>
    </row>
    <row r="164" spans="1:15" ht="21.75" customHeight="1" x14ac:dyDescent="0.2">
      <c r="A164" s="513" t="s">
        <v>377</v>
      </c>
      <c r="B164" s="513" t="s">
        <v>96</v>
      </c>
      <c r="C164" s="514">
        <f>(((1.01*C156)*(C155)*'Cálculos Mayagüez'!$F$26)/'Cálculos Mayagüez'!$H$27)+(((1.01*C158)*(C157)*'Cálculos Mayagüez'!$P$26)/'Cálculos Mayagüez'!$R$27)+(((1.01*C160)*(C159)*'Cálculos Mayagüez'!$Z$26)/'Cálculos Mayagüez'!$AB$27)+(((1.01*C162)*(C161)*'Cálculos Mayagüez'!$AJ$26)/'Cálculos Mayagüez'!$AL$27)</f>
        <v>2.3276741129460001</v>
      </c>
      <c r="D164" s="514">
        <f>(((1.01*D156)*(D155)*'Cálculos Mayagüez'!$F$26)/'Cálculos Mayagüez'!$H$27)+(((1.01*D158)*(D157)*'Cálculos Mayagüez'!$P$26)/'Cálculos Mayagüez'!$R$27)+(((1.01*D160)*(D159)*'Cálculos Mayagüez'!$Z$26)/'Cálculos Mayagüez'!$AB$27)+(((1.01*D162)*(D161)*'Cálculos Mayagüez'!$AJ$26)/'Cálculos Mayagüez'!$AL$27)</f>
        <v>1.0115420429520001</v>
      </c>
      <c r="E164" s="514">
        <f>(((1.01*E156)*(E155)*'Cálculos Mayagüez'!$F$26)/'Cálculos Mayagüez'!$H$27)+(((1.01*E158)*(E157)*'Cálculos Mayagüez'!$P$26)/'Cálculos Mayagüez'!$R$27)+(((1.01*E160)*(E159)*'Cálculos Mayagüez'!$Z$26)/'Cálculos Mayagüez'!$AB$27)+(((1.01*E162)*(E161)*'Cálculos Mayagüez'!$AJ$26)/'Cálculos Mayagüez'!$AL$27)</f>
        <v>1.194980270022</v>
      </c>
      <c r="F164" s="514">
        <f>(((1.01*F156)*(F155)*'Cálculos Mayagüez'!$F$26)/'Cálculos Mayagüez'!$H$27)+(((1.01*F158)*(F157)*'Cálculos Mayagüez'!$P$26)/'Cálculos Mayagüez'!$R$27)+(((1.01*F160)*(F159)*'Cálculos Mayagüez'!$Z$26)/'Cálculos Mayagüez'!$AB$27)+(((1.01*F162)*(F161)*'Cálculos Mayagüez'!$AJ$26)/'Cálculos Mayagüez'!$AL$27)</f>
        <v>1.164894427998</v>
      </c>
      <c r="G164" s="514">
        <f>(((1.01*G156)*(G155)*'Cálculos Mayagüez'!$F$26)/'Cálculos Mayagüez'!$H$27)+(((1.01*G158)*(G157)*'Cálculos Mayagüez'!$P$26)/'Cálculos Mayagüez'!$R$27)+(((1.01*G160)*(G159)*'Cálculos Mayagüez'!$Z$26)/'Cálculos Mayagüez'!$AB$27)+(((1.01*G162)*(G161)*'Cálculos Mayagüez'!$AJ$26)/'Cálculos Mayagüez'!$AL$27)</f>
        <v>0.29915491788000004</v>
      </c>
      <c r="H164" s="514">
        <f>(((1.01*H156)*(H155)*'Cálculos Mayagüez'!$F$26)/'Cálculos Mayagüez'!$H$27)+(((1.01*H158)*(H157)*'Cálculos Mayagüez'!$P$26)/'Cálculos Mayagüez'!$R$27)+(((1.01*H160)*(H159)*'Cálculos Mayagüez'!$Z$26)/'Cálculos Mayagüez'!$AB$27)+(((1.01*H162)*(H161)*'Cálculos Mayagüez'!$AJ$26)/'Cálculos Mayagüez'!$AL$27)</f>
        <v>0.42208895597400004</v>
      </c>
      <c r="I164" s="514">
        <f>(((1.01*I156)*(I155)*'Cálculos Mayagüez'!$F$26)/'Cálculos Mayagüez'!$H$27)+(((1.01*I158)*(I157)*'Cálculos Mayagüez'!$P$26)/'Cálculos Mayagüez'!$R$27)+(((1.01*I160)*(I159)*'Cálculos Mayagüez'!$Z$26)/'Cálculos Mayagüez'!$AB$27)+(((1.01*I162)*(I161)*'Cálculos Mayagüez'!$AJ$26)/'Cálculos Mayagüez'!$AL$27)</f>
        <v>0.29306123821800001</v>
      </c>
      <c r="J164" s="514">
        <f>(((1.01*J156)*(J155)*'Cálculos Mayagüez'!$F$26)/'Cálculos Mayagüez'!$H$27)+(((1.01*J158)*(J157)*'Cálculos Mayagüez'!$P$26)/'Cálculos Mayagüez'!$R$27)+(((1.01*J160)*(J159)*'Cálculos Mayagüez'!$Z$26)/'Cálculos Mayagüez'!$AB$27)+(((1.01*J162)*(J161)*'Cálculos Mayagüez'!$AJ$26)/'Cálculos Mayagüez'!$AL$27)</f>
        <v>0.285608561742</v>
      </c>
      <c r="K164" s="514">
        <f>(((1.01*K156)*(K155)*'Cálculos Mayagüez'!$F$26)/'Cálculos Mayagüez'!$H$27)+(((1.01*K158)*(K157)*'Cálculos Mayagüez'!$P$26)/'Cálculos Mayagüez'!$R$27)+(((1.01*K160)*(K159)*'Cálculos Mayagüez'!$Z$26)/'Cálculos Mayagüez'!$AB$27)+(((1.01*K162)*(K161)*'Cálculos Mayagüez'!$AJ$26)/'Cálculos Mayagüez'!$AL$27)</f>
        <v>0.10197071463599999</v>
      </c>
      <c r="L164" s="514">
        <f>(((1.01*L156)*(L155)*'Cálculos Mayagüez'!$F$26)/'Cálculos Mayagüez'!$H$27)+(((1.01*L158)*(L157)*'Cálculos Mayagüez'!$P$26)/'Cálculos Mayagüez'!$R$27)+(((1.01*L160)*(L159)*'Cálculos Mayagüez'!$Z$26)/'Cálculos Mayagüez'!$AB$27)+(((1.01*L162)*(L161)*'Cálculos Mayagüez'!$AJ$26)/'Cálculos Mayagüez'!$AL$27)</f>
        <v>0.34091706852000003</v>
      </c>
      <c r="M164" s="514">
        <f>(((1.01*M156)*(M155)*'Cálculos Mayagüez'!$F$26)/'Cálculos Mayagüez'!$H$27)+(((1.01*M158)*(M157)*'Cálculos Mayagüez'!$P$26)/'Cálculos Mayagüez'!$R$27)+(((1.01*M160)*(M159)*'Cálculos Mayagüez'!$Z$26)/'Cálculos Mayagüez'!$AB$27)+(((1.01*M162)*(M161)*'Cálculos Mayagüez'!$AJ$26)/'Cálculos Mayagüez'!$AL$27)</f>
        <v>0.32877010152000002</v>
      </c>
      <c r="N164" s="514">
        <f>(((1.01*N156)*(N155)*'Cálculos Mayagüez'!$F$26)/'Cálculos Mayagüez'!$H$27)+(((1.01*N158)*(N157)*'Cálculos Mayagüez'!$P$26)/'Cálculos Mayagüez'!$R$27)+(((1.01*N160)*(N159)*'Cálculos Mayagüez'!$Z$26)/'Cálculos Mayagüez'!$AB$27)+(((1.01*N162)*(N161)*'Cálculos Mayagüez'!$AJ$26)/'Cálculos Mayagüez'!$AL$27)</f>
        <v>0.63149271532200002</v>
      </c>
      <c r="O164" s="532">
        <f t="shared" si="23"/>
        <v>8.4021551277300013</v>
      </c>
    </row>
    <row r="165" spans="1:15" ht="21.75" customHeight="1" x14ac:dyDescent="0.2">
      <c r="A165" s="513" t="s">
        <v>20</v>
      </c>
      <c r="B165" s="513" t="s">
        <v>96</v>
      </c>
      <c r="C165" s="514">
        <f>(('Cálculos Mayagüez'!$B$34*(C155)*'Cálculos Mayagüez'!$F$34)/'Cálculos Mayagüez'!$H$35)+(('Cálculos Mayagüez'!$L$34*(C157)*'Cálculos Mayagüez'!$P$34)/'Cálculos Mayagüez'!$R$35)+(('Cálculos Mayagüez'!$V$34*(C159)*'Cálculos Mayagüez'!$Z$34)/'Cálculos Mayagüez'!$AB$35)+(('Cálculos Mayagüez'!$AF$34*(C161)*'Cálculos Mayagüez'!$AJ$34)/'Cálculos Mayagüez'!$AL$35)</f>
        <v>66.289788782433732</v>
      </c>
      <c r="D165" s="514">
        <f>(('Cálculos Mayagüez'!$B$34*(D155)*'Cálculos Mayagüez'!$F$34)/'Cálculos Mayagüez'!$H$35)+(('Cálculos Mayagüez'!$L$34*(D157)*'Cálculos Mayagüez'!$P$34)/'Cálculos Mayagüez'!$R$35)+(('Cálculos Mayagüez'!$V$34*(D159)*'Cálculos Mayagüez'!$Z$34)/'Cálculos Mayagüez'!$AB$35)+(('Cálculos Mayagüez'!$AF$34*(D161)*'Cálculos Mayagüez'!$AJ$34)/'Cálculos Mayagüez'!$AL$35)</f>
        <v>28.807687467457441</v>
      </c>
      <c r="E165" s="514">
        <f>(('Cálculos Mayagüez'!$B$34*(E155)*'Cálculos Mayagüez'!$F$34)/'Cálculos Mayagüez'!$H$35)+(('Cálculos Mayagüez'!$L$34*(E157)*'Cálculos Mayagüez'!$P$34)/'Cálculos Mayagüez'!$R$35)+(('Cálculos Mayagüez'!$V$34*(E159)*'Cálculos Mayagüez'!$Z$34)/'Cálculos Mayagüez'!$AB$35)+(('Cálculos Mayagüez'!$AF$34*(E161)*'Cálculos Mayagüez'!$AJ$34)/'Cálculos Mayagüez'!$AL$35)</f>
        <v>34.031821404189728</v>
      </c>
      <c r="F165" s="514">
        <f>(('Cálculos Mayagüez'!$B$34*(F155)*'Cálculos Mayagüez'!$F$34)/'Cálculos Mayagüez'!$H$35)+(('Cálculos Mayagüez'!$L$34*(F157)*'Cálculos Mayagüez'!$P$34)/'Cálculos Mayagüez'!$R$35)+(('Cálculos Mayagüez'!$V$34*(F159)*'Cálculos Mayagüez'!$Z$34)/'Cálculos Mayagüez'!$AB$35)+(('Cálculos Mayagüez'!$AF$34*(F161)*'Cálculos Mayagüez'!$AJ$34)/'Cálculos Mayagüez'!$AL$35)</f>
        <v>33.175007255671119</v>
      </c>
      <c r="G165" s="514">
        <f>(('Cálculos Mayagüez'!$B$34*(G155)*'Cálculos Mayagüez'!$F$34)/'Cálculos Mayagüez'!$H$35)+(('Cálculos Mayagüez'!$L$34*(G157)*'Cálculos Mayagüez'!$P$34)/'Cálculos Mayagüez'!$R$35)+(('Cálculos Mayagüez'!$V$34*(G159)*'Cálculos Mayagüez'!$Z$34)/'Cálculos Mayagüez'!$AB$35)+(('Cálculos Mayagüez'!$AF$34*(G161)*'Cálculos Mayagüez'!$AJ$34)/'Cálculos Mayagüez'!$AL$35)</f>
        <v>8.5196274724182448</v>
      </c>
      <c r="H165" s="514">
        <f>(('Cálculos Mayagüez'!$B$34*(H155)*'Cálculos Mayagüez'!$F$34)/'Cálculos Mayagüez'!$H$35)+(('Cálculos Mayagüez'!$L$34*(H157)*'Cálculos Mayagüez'!$P$34)/'Cálculos Mayagüez'!$R$35)+(('Cálculos Mayagüez'!$V$34*(H159)*'Cálculos Mayagüez'!$Z$34)/'Cálculos Mayagüez'!$AB$35)+(('Cálculos Mayagüez'!$AF$34*(H161)*'Cálculos Mayagüez'!$AJ$34)/'Cálculos Mayagüez'!$AL$35)</f>
        <v>12.020663710308467</v>
      </c>
      <c r="I165" s="514">
        <f>(('Cálculos Mayagüez'!$B$34*(I155)*'Cálculos Mayagüez'!$F$34)/'Cálculos Mayagüez'!$H$35)+(('Cálculos Mayagüez'!$L$34*(I157)*'Cálculos Mayagüez'!$P$34)/'Cálculos Mayagüez'!$R$35)+(('Cálculos Mayagüez'!$V$34*(I159)*'Cálculos Mayagüez'!$Z$34)/'Cálculos Mayagüez'!$AB$35)+(('Cálculos Mayagüez'!$AF$34*(I161)*'Cálculos Mayagüez'!$AJ$34)/'Cálculos Mayagüez'!$AL$35)</f>
        <v>8.3460856800104839</v>
      </c>
      <c r="J165" s="514">
        <f>(('Cálculos Mayagüez'!$B$34*(J155)*'Cálculos Mayagüez'!$F$34)/'Cálculos Mayagüez'!$H$35)+(('Cálculos Mayagüez'!$L$34*(J157)*'Cálculos Mayagüez'!$P$34)/'Cálculos Mayagüez'!$R$35)+(('Cálculos Mayagüez'!$V$34*(J159)*'Cálculos Mayagüez'!$Z$34)/'Cálculos Mayagüez'!$AB$35)+(('Cálculos Mayagüez'!$AF$34*(J161)*'Cálculos Mayagüez'!$AJ$34)/'Cálculos Mayagüez'!$AL$35)</f>
        <v>8.1338410420218032</v>
      </c>
      <c r="K165" s="514">
        <f>(('Cálculos Mayagüez'!$B$34*(K155)*'Cálculos Mayagüez'!$F$34)/'Cálculos Mayagüez'!$H$35)+(('Cálculos Mayagüez'!$L$34*(K157)*'Cálculos Mayagüez'!$P$34)/'Cálculos Mayagüez'!$R$35)+(('Cálculos Mayagüez'!$V$34*(K159)*'Cálculos Mayagüez'!$Z$34)/'Cálculos Mayagüez'!$AB$35)+(('Cálculos Mayagüez'!$AF$34*(K161)*'Cálculos Mayagüez'!$AJ$34)/'Cálculos Mayagüez'!$AL$35)</f>
        <v>2.904022129910194</v>
      </c>
      <c r="L165" s="514">
        <f>(('Cálculos Mayagüez'!$B$34*(L155)*'Cálculos Mayagüez'!$F$34)/'Cálculos Mayagüez'!$H$35)+(('Cálculos Mayagüez'!$L$34*(L157)*'Cálculos Mayagüez'!$P$34)/'Cálculos Mayagüez'!$R$35)+(('Cálculos Mayagüez'!$V$34*(L159)*'Cálculos Mayagüez'!$Z$34)/'Cálculos Mayagüez'!$AB$35)+(('Cálculos Mayagüez'!$AF$34*(L161)*'Cálculos Mayagüez'!$AJ$34)/'Cálculos Mayagüez'!$AL$35)</f>
        <v>9.708971001922027</v>
      </c>
      <c r="M165" s="514">
        <f>(('Cálculos Mayagüez'!$B$34*(M155)*'Cálculos Mayagüez'!$F$34)/'Cálculos Mayagüez'!$H$35)+(('Cálculos Mayagüez'!$L$34*(M157)*'Cálculos Mayagüez'!$P$34)/'Cálculos Mayagüez'!$R$35)+(('Cálculos Mayagüez'!$V$34*(M159)*'Cálculos Mayagüez'!$Z$34)/'Cálculos Mayagüez'!$AB$35)+(('Cálculos Mayagüez'!$AF$34*(M161)*'Cálculos Mayagüez'!$AJ$34)/'Cálculos Mayagüez'!$AL$35)</f>
        <v>9.3630377493680115</v>
      </c>
      <c r="N165" s="514">
        <f>(('Cálculos Mayagüez'!$B$34*(N155)*'Cálculos Mayagüez'!$F$34)/'Cálculos Mayagüez'!$H$35)+(('Cálculos Mayagüez'!$L$34*(N157)*'Cálculos Mayagüez'!$P$34)/'Cálculos Mayagüez'!$R$35)+(('Cálculos Mayagüez'!$V$34*(N159)*'Cálculos Mayagüez'!$Z$34)/'Cálculos Mayagüez'!$AB$35)+(('Cálculos Mayagüez'!$AF$34*(N161)*'Cálculos Mayagüez'!$AJ$34)/'Cálculos Mayagüez'!$AL$35)</f>
        <v>17.984269569144828</v>
      </c>
      <c r="O165" s="532">
        <f t="shared" si="23"/>
        <v>239.2848232648561</v>
      </c>
    </row>
    <row r="166" spans="1:15" ht="21.75" customHeight="1" x14ac:dyDescent="0.2">
      <c r="A166" s="513" t="s">
        <v>22</v>
      </c>
      <c r="B166" s="513" t="s">
        <v>96</v>
      </c>
      <c r="C166" s="514">
        <f>(('Cálculos Mayagüez'!$B$42*(C155)*'Cálculos Mayagüez'!$F$42)/'Cálculos Mayagüez'!$H$43)+(('Cálculos Mayagüez'!$L$42*(C157)*'Cálculos Mayagüez'!$P$42)/'Cálculos Mayagüez'!$R$43)+(('Cálculos Mayagüez'!$V$42*(C159)*'Cálculos Mayagüez'!$Z$42)/'Cálculos Mayagüez'!$AB$43)+(('Cálculos Mayagüez'!$AF$42*(C161)*'Cálculos Mayagüez'!$AJ$42)/'Cálculos Mayagüez'!$AL$43)</f>
        <v>9.4489741218600001E-2</v>
      </c>
      <c r="D166" s="514">
        <f>(('Cálculos Mayagüez'!$B$42*(D155)*'Cálculos Mayagüez'!$F$42)/'Cálculos Mayagüez'!$H$43)+(('Cálculos Mayagüez'!$L$42*(D157)*'Cálculos Mayagüez'!$P$42)/'Cálculos Mayagüez'!$R$43)+(('Cálculos Mayagüez'!$V$42*(D159)*'Cálculos Mayagüez'!$Z$42)/'Cálculos Mayagüez'!$AB$43)+(('Cálculos Mayagüez'!$AF$42*(D161)*'Cálculos Mayagüez'!$AJ$42)/'Cálculos Mayagüez'!$AL$43)</f>
        <v>4.1062597783200004E-2</v>
      </c>
      <c r="E166" s="514">
        <f>(('Cálculos Mayagüez'!$B$42*(E155)*'Cálculos Mayagüez'!$F$42)/'Cálculos Mayagüez'!$H$43)+(('Cálculos Mayagüez'!$L$42*(E157)*'Cálculos Mayagüez'!$P$42)/'Cálculos Mayagüez'!$R$43)+(('Cálculos Mayagüez'!$V$42*(E159)*'Cálculos Mayagüez'!$Z$42)/'Cálculos Mayagüez'!$AB$43)+(('Cálculos Mayagüez'!$AF$42*(E161)*'Cálculos Mayagüez'!$AJ$42)/'Cálculos Mayagüez'!$AL$43)</f>
        <v>4.8509100070200005E-2</v>
      </c>
      <c r="F166" s="514">
        <f>(('Cálculos Mayagüez'!$B$42*(F155)*'Cálculos Mayagüez'!$F$42)/'Cálculos Mayagüez'!$H$43)+(('Cálculos Mayagüez'!$L$42*(F157)*'Cálculos Mayagüez'!$P$42)/'Cálculos Mayagüez'!$R$43)+(('Cálculos Mayagüez'!$V$42*(F159)*'Cálculos Mayagüez'!$Z$42)/'Cálculos Mayagüez'!$AB$43)+(('Cálculos Mayagüez'!$AF$42*(F161)*'Cálculos Mayagüez'!$AJ$42)/'Cálculos Mayagüez'!$AL$43)</f>
        <v>4.7287793611800001E-2</v>
      </c>
      <c r="G166" s="514">
        <f>(('Cálculos Mayagüez'!$B$42*(G155)*'Cálculos Mayagüez'!$F$42)/'Cálculos Mayagüez'!$H$43)+(('Cálculos Mayagüez'!$L$42*(G157)*'Cálculos Mayagüez'!$P$42)/'Cálculos Mayagüez'!$R$43)+(('Cálculos Mayagüez'!$V$42*(G159)*'Cálculos Mayagüez'!$Z$42)/'Cálculos Mayagüez'!$AB$43)+(('Cálculos Mayagüez'!$AF$42*(G161)*'Cálculos Mayagüez'!$AJ$42)/'Cálculos Mayagüez'!$AL$43)</f>
        <v>1.2143912508000001E-2</v>
      </c>
      <c r="H166" s="514">
        <f>(('Cálculos Mayagüez'!$B$42*(H155)*'Cálculos Mayagüez'!$F$42)/'Cálculos Mayagüez'!$H$43)+(('Cálculos Mayagüez'!$L$42*(H157)*'Cálculos Mayagüez'!$P$42)/'Cálculos Mayagüez'!$R$43)+(('Cálculos Mayagüez'!$V$42*(H159)*'Cálculos Mayagüez'!$Z$42)/'Cálculos Mayagüez'!$AB$43)+(('Cálculos Mayagüez'!$AF$42*(H161)*'Cálculos Mayagüez'!$AJ$42)/'Cálculos Mayagüez'!$AL$43)</f>
        <v>1.7134304153400001E-2</v>
      </c>
      <c r="I166" s="514">
        <f>(('Cálculos Mayagüez'!$B$42*(I155)*'Cálculos Mayagüez'!$F$42)/'Cálculos Mayagüez'!$H$43)+(('Cálculos Mayagüez'!$L$42*(I157)*'Cálculos Mayagüez'!$P$42)/'Cálculos Mayagüez'!$R$43)+(('Cálculos Mayagüez'!$V$42*(I159)*'Cálculos Mayagüez'!$Z$42)/'Cálculos Mayagüez'!$AB$43)+(('Cálculos Mayagüez'!$AF$42*(I161)*'Cálculos Mayagüez'!$AJ$42)/'Cálculos Mayagüez'!$AL$43)</f>
        <v>1.1896545313800001E-2</v>
      </c>
      <c r="J166" s="514">
        <f>(('Cálculos Mayagüez'!$B$42*(J155)*'Cálculos Mayagüez'!$F$42)/'Cálculos Mayagüez'!$H$43)+(('Cálculos Mayagüez'!$L$42*(J157)*'Cálculos Mayagüez'!$P$42)/'Cálculos Mayagüez'!$R$43)+(('Cálculos Mayagüez'!$V$42*(J159)*'Cálculos Mayagüez'!$Z$42)/'Cálculos Mayagüez'!$AB$43)+(('Cálculos Mayagüez'!$AF$42*(J161)*'Cálculos Mayagüez'!$AJ$42)/'Cálculos Mayagüez'!$AL$43)</f>
        <v>1.1594010922199999E-2</v>
      </c>
      <c r="K166" s="514">
        <f>(('Cálculos Mayagüez'!$B$42*(K155)*'Cálculos Mayagüez'!$F$42)/'Cálculos Mayagüez'!$H$43)+(('Cálculos Mayagüez'!$L$42*(K157)*'Cálculos Mayagüez'!$P$42)/'Cálculos Mayagüez'!$R$43)+(('Cálculos Mayagüez'!$V$42*(K159)*'Cálculos Mayagüez'!$Z$42)/'Cálculos Mayagüez'!$AB$43)+(('Cálculos Mayagüez'!$AF$42*(K161)*'Cálculos Mayagüez'!$AJ$42)/'Cálculos Mayagüez'!$AL$43)</f>
        <v>4.1394052476E-3</v>
      </c>
      <c r="L166" s="514">
        <f>(('Cálculos Mayagüez'!$B$42*(L155)*'Cálculos Mayagüez'!$F$42)/'Cálculos Mayagüez'!$H$43)+(('Cálculos Mayagüez'!$L$42*(L157)*'Cálculos Mayagüez'!$P$42)/'Cálculos Mayagüez'!$R$43)+(('Cálculos Mayagüez'!$V$42*(L159)*'Cálculos Mayagüez'!$Z$42)/'Cálculos Mayagüez'!$AB$43)+(('Cálculos Mayagüez'!$AF$42*(L161)*'Cálculos Mayagüez'!$AJ$42)/'Cálculos Mayagüez'!$AL$43)</f>
        <v>1.3839207732000001E-2</v>
      </c>
      <c r="M166" s="514">
        <f>(('Cálculos Mayagüez'!$B$42*(M155)*'Cálculos Mayagüez'!$F$42)/'Cálculos Mayagüez'!$H$43)+(('Cálculos Mayagüez'!$L$42*(M157)*'Cálculos Mayagüez'!$P$42)/'Cálculos Mayagüez'!$R$43)+(('Cálculos Mayagüez'!$V$42*(M159)*'Cálculos Mayagüez'!$Z$42)/'Cálculos Mayagüez'!$AB$43)+(('Cálculos Mayagüez'!$AF$42*(M161)*'Cálculos Mayagüez'!$AJ$42)/'Cálculos Mayagüez'!$AL$43)</f>
        <v>1.3346113032E-2</v>
      </c>
      <c r="N166" s="514">
        <f>(('Cálculos Mayagüez'!$B$42*(N155)*'Cálculos Mayagüez'!$F$42)/'Cálculos Mayagüez'!$H$43)+(('Cálculos Mayagüez'!$L$42*(N157)*'Cálculos Mayagüez'!$P$42)/'Cálculos Mayagüez'!$R$43)+(('Cálculos Mayagüez'!$V$42*(N159)*'Cálculos Mayagüez'!$Z$42)/'Cálculos Mayagüez'!$AB$43)+(('Cálculos Mayagüez'!$AF$42*(N161)*'Cálculos Mayagüez'!$AJ$42)/'Cálculos Mayagüez'!$AL$43)</f>
        <v>2.5634852800200003E-2</v>
      </c>
      <c r="O166" s="532">
        <f t="shared" si="23"/>
        <v>0.34107758439300001</v>
      </c>
    </row>
    <row r="167" spans="1:15" ht="21.75" customHeight="1" x14ac:dyDescent="0.2">
      <c r="A167" s="513" t="s">
        <v>21</v>
      </c>
      <c r="B167" s="513" t="s">
        <v>96</v>
      </c>
      <c r="C167" s="514">
        <f>(('Cálculos Mayagüez'!$B$55*(C155)*'Cálculos Mayagüez'!$F$55)/'Cálculos Mayagüez'!$H$56)+(('Cálculos Mayagüez'!$L$55*(C157)*'Cálculos Mayagüez'!$P$55)/'Cálculos Mayagüez'!$R$56)+(('Cálculos Mayagüez'!$V$55*(C159)*'Cálculos Mayagüez'!$Z$55)/'Cálculos Mayagüez'!$AB$56)+(('Cálculos Mayagüez'!$AF$55*(C161)*'Cálculos Mayagüez'!$AJ$55)/'Cálculos Mayagüez'!$AL$56)</f>
        <v>0.76052718541799991</v>
      </c>
      <c r="D167" s="514">
        <f>(('Cálculos Mayagüez'!$B$55*(D155)*'Cálculos Mayagüez'!$F$55)/'Cálculos Mayagüez'!$H$56)+(('Cálculos Mayagüez'!$L$55*(D157)*'Cálculos Mayagüez'!$P$55)/'Cálculos Mayagüez'!$R$56)+(('Cálculos Mayagüez'!$V$55*(D159)*'Cálculos Mayagüez'!$Z$55)/'Cálculos Mayagüez'!$AB$56)+(('Cálculos Mayagüez'!$AF$55*(D161)*'Cálculos Mayagüez'!$AJ$55)/'Cálculos Mayagüez'!$AL$56)</f>
        <v>0.33050383581599996</v>
      </c>
      <c r="E167" s="514">
        <f>(('Cálculos Mayagüez'!$B$55*(E155)*'Cálculos Mayagüez'!$F$55)/'Cálculos Mayagüez'!$H$56)+(('Cálculos Mayagüez'!$L$55*(E157)*'Cálculos Mayagüez'!$P$55)/'Cálculos Mayagüez'!$R$56)+(('Cálculos Mayagüez'!$V$55*(E159)*'Cálculos Mayagüez'!$Z$55)/'Cálculos Mayagüez'!$AB$56)+(('Cálculos Mayagüez'!$AF$55*(E161)*'Cálculos Mayagüez'!$AJ$55)/'Cálculos Mayagüez'!$AL$56)</f>
        <v>0.39043909812600003</v>
      </c>
      <c r="F167" s="514">
        <f>(('Cálculos Mayagüez'!$B$55*(F155)*'Cálculos Mayagüez'!$F$55)/'Cálculos Mayagüez'!$H$56)+(('Cálculos Mayagüez'!$L$55*(F157)*'Cálculos Mayagüez'!$P$55)/'Cálculos Mayagüez'!$R$56)+(('Cálculos Mayagüez'!$V$55*(F159)*'Cálculos Mayagüez'!$Z$55)/'Cálculos Mayagüez'!$AB$56)+(('Cálculos Mayagüez'!$AF$55*(F161)*'Cálculos Mayagüez'!$AJ$55)/'Cálculos Mayagüez'!$AL$56)</f>
        <v>0.38060907053400006</v>
      </c>
      <c r="G167" s="514">
        <f>(('Cálculos Mayagüez'!$B$55*(G155)*'Cálculos Mayagüez'!$F$55)/'Cálculos Mayagüez'!$H$56)+(('Cálculos Mayagüez'!$L$55*(G157)*'Cálculos Mayagüez'!$P$55)/'Cálculos Mayagüez'!$R$56)+(('Cálculos Mayagüez'!$V$55*(G159)*'Cálculos Mayagüez'!$Z$55)/'Cálculos Mayagüez'!$AB$56)+(('Cálculos Mayagüez'!$AF$55*(G161)*'Cálculos Mayagüez'!$AJ$55)/'Cálculos Mayagüez'!$AL$56)</f>
        <v>9.774368604E-2</v>
      </c>
      <c r="H167" s="514">
        <f>(('Cálculos Mayagüez'!$B$55*(H155)*'Cálculos Mayagüez'!$F$55)/'Cálculos Mayagüez'!$H$56)+(('Cálculos Mayagüez'!$L$55*(H157)*'Cálculos Mayagüez'!$P$55)/'Cálculos Mayagüez'!$R$56)+(('Cálculos Mayagüez'!$V$55*(H159)*'Cálculos Mayagüez'!$Z$55)/'Cálculos Mayagüez'!$AB$56)+(('Cálculos Mayagüez'!$AF$55*(H161)*'Cálculos Mayagüez'!$AJ$55)/'Cálculos Mayagüez'!$AL$56)</f>
        <v>0.13791025294200002</v>
      </c>
      <c r="I167" s="514">
        <f>(('Cálculos Mayagüez'!$B$55*(I155)*'Cálculos Mayagüez'!$F$55)/'Cálculos Mayagüez'!$H$56)+(('Cálculos Mayagüez'!$L$55*(I157)*'Cálculos Mayagüez'!$P$55)/'Cálculos Mayagüez'!$R$56)+(('Cálculos Mayagüez'!$V$55*(I159)*'Cálculos Mayagüez'!$Z$55)/'Cálculos Mayagüez'!$AB$56)+(('Cálculos Mayagüez'!$AF$55*(I161)*'Cálculos Mayagüez'!$AJ$55)/'Cálculos Mayagüez'!$AL$56)</f>
        <v>9.5752681794000011E-2</v>
      </c>
      <c r="J167" s="514">
        <f>(('Cálculos Mayagüez'!$B$55*(J155)*'Cálculos Mayagüez'!$F$55)/'Cálculos Mayagüez'!$H$56)+(('Cálculos Mayagüez'!$L$55*(J157)*'Cálculos Mayagüez'!$P$55)/'Cálculos Mayagüez'!$R$56)+(('Cálculos Mayagüez'!$V$55*(J159)*'Cálculos Mayagüez'!$Z$55)/'Cálculos Mayagüez'!$AB$56)+(('Cálculos Mayagüez'!$AF$55*(J161)*'Cálculos Mayagüez'!$AJ$55)/'Cálculos Mayagüez'!$AL$56)</f>
        <v>9.3317648885999999E-2</v>
      </c>
      <c r="K167" s="514">
        <f>(('Cálculos Mayagüez'!$B$55*(K155)*'Cálculos Mayagüez'!$F$55)/'Cálculos Mayagüez'!$H$56)+(('Cálculos Mayagüez'!$L$55*(K157)*'Cálculos Mayagüez'!$P$55)/'Cálculos Mayagüez'!$R$56)+(('Cálculos Mayagüez'!$V$55*(K159)*'Cálculos Mayagüez'!$Z$55)/'Cálculos Mayagüez'!$AB$56)+(('Cálculos Mayagüez'!$AF$55*(K161)*'Cálculos Mayagüez'!$AJ$55)/'Cálculos Mayagüez'!$AL$56)</f>
        <v>3.3317164188000001E-2</v>
      </c>
      <c r="L167" s="514">
        <f>(('Cálculos Mayagüez'!$B$55*(L155)*'Cálculos Mayagüez'!$F$55)/'Cálculos Mayagüez'!$H$56)+(('Cálculos Mayagüez'!$L$55*(L157)*'Cálculos Mayagüez'!$P$55)/'Cálculos Mayagüez'!$R$56)+(('Cálculos Mayagüez'!$V$55*(L159)*'Cálculos Mayagüez'!$Z$55)/'Cálculos Mayagüez'!$AB$56)+(('Cálculos Mayagüez'!$AF$55*(L161)*'Cálculos Mayagüez'!$AJ$55)/'Cálculos Mayagüez'!$AL$56)</f>
        <v>0.11138874516000002</v>
      </c>
      <c r="M167" s="514">
        <f>(('Cálculos Mayagüez'!$B$55*(M155)*'Cálculos Mayagüez'!$F$55)/'Cálculos Mayagüez'!$H$56)+(('Cálculos Mayagüez'!$L$55*(M157)*'Cálculos Mayagüez'!$P$55)/'Cálculos Mayagüez'!$R$56)+(('Cálculos Mayagüez'!$V$55*(M159)*'Cálculos Mayagüez'!$Z$55)/'Cálculos Mayagüez'!$AB$56)+(('Cálculos Mayagüez'!$AF$55*(M161)*'Cálculos Mayagüez'!$AJ$55)/'Cálculos Mayagüez'!$AL$56)</f>
        <v>0.10741993416000001</v>
      </c>
      <c r="N167" s="514">
        <f>(('Cálculos Mayagüez'!$B$55*(N155)*'Cálculos Mayagüez'!$F$55)/'Cálculos Mayagüez'!$H$56)+(('Cálculos Mayagüez'!$L$55*(N157)*'Cálculos Mayagüez'!$P$55)/'Cálculos Mayagüez'!$R$56)+(('Cálculos Mayagüez'!$V$55*(N159)*'Cálculos Mayagüez'!$Z$55)/'Cálculos Mayagüez'!$AB$56)+(('Cálculos Mayagüez'!$AF$55*(N161)*'Cálculos Mayagüez'!$AJ$55)/'Cálculos Mayagüez'!$AL$56)</f>
        <v>0.206329303026</v>
      </c>
      <c r="O167" s="532">
        <f t="shared" si="23"/>
        <v>2.7452586060900006</v>
      </c>
    </row>
    <row r="168" spans="1:15" ht="21.75" customHeight="1" x14ac:dyDescent="0.2">
      <c r="A168" s="513" t="s">
        <v>23</v>
      </c>
      <c r="B168" s="513" t="s">
        <v>96</v>
      </c>
      <c r="C168" s="519">
        <f>(('Cálculos Mayagüez'!$B$63*(C155)*'Cálculos Mayagüez'!$F$63)/'Cálculos Mayagüez'!$H$64)+(('Cálculos Mayagüez'!$L$63*(C157)*'Cálculos Mayagüez'!$P$63)/'Cálculos Mayagüez'!$R$64)+(('Cálculos Mayagüez'!$V$63*(C159)*'Cálculos Mayagüez'!$Z$63)/'Cálculos Mayagüez'!$AB$64)+(('Cálculos Mayagüez'!$AF$63*(C161)*'Cálculos Mayagüez'!$AJ$63)/'Cálculos Mayagüez'!$AL$64)</f>
        <v>3.2264789684399997E-3</v>
      </c>
      <c r="D168" s="519">
        <f>(('Cálculos Mayagüez'!$B$63*(D155)*'Cálculos Mayagüez'!$F$63)/'Cálculos Mayagüez'!$H$64)+(('Cálculos Mayagüez'!$L$63*(D157)*'Cálculos Mayagüez'!$P$63)/'Cálculos Mayagüez'!$R$64)+(('Cálculos Mayagüez'!$V$63*(D159)*'Cálculos Mayagüez'!$Z$63)/'Cálculos Mayagüez'!$AB$64)+(('Cálculos Mayagüez'!$AF$63*(D161)*'Cálculos Mayagüez'!$AJ$63)/'Cálculos Mayagüez'!$AL$64)</f>
        <v>1.4021374852800001E-3</v>
      </c>
      <c r="E168" s="519">
        <f>(('Cálculos Mayagüez'!$B$63*(E155)*'Cálculos Mayagüez'!$F$63)/'Cálculos Mayagüez'!$H$64)+(('Cálculos Mayagüez'!$L$63*(E157)*'Cálculos Mayagüez'!$P$63)/'Cálculos Mayagüez'!$R$64)+(('Cálculos Mayagüez'!$V$63*(E159)*'Cálculos Mayagüez'!$Z$63)/'Cálculos Mayagüez'!$AB$64)+(('Cálculos Mayagüez'!$AF$63*(E161)*'Cálculos Mayagüez'!$AJ$63)/'Cálculos Mayagüez'!$AL$64)</f>
        <v>1.6564082950800002E-3</v>
      </c>
      <c r="F168" s="519">
        <f>(('Cálculos Mayagüez'!$B$63*(F155)*'Cálculos Mayagüez'!$F$63)/'Cálculos Mayagüez'!$H$64)+(('Cálculos Mayagüez'!$L$63*(F157)*'Cálculos Mayagüez'!$P$63)/'Cálculos Mayagüez'!$R$64)+(('Cálculos Mayagüez'!$V$63*(F159)*'Cálculos Mayagüez'!$Z$63)/'Cálculos Mayagüez'!$AB$64)+(('Cálculos Mayagüez'!$AF$63*(F161)*'Cálculos Mayagüez'!$AJ$63)/'Cálculos Mayagüez'!$AL$64)</f>
        <v>1.61470514772E-3</v>
      </c>
      <c r="G168" s="519">
        <f>(('Cálculos Mayagüez'!$B$63*(G155)*'Cálculos Mayagüez'!$F$63)/'Cálculos Mayagüez'!$H$64)+(('Cálculos Mayagüez'!$L$63*(G157)*'Cálculos Mayagüez'!$P$63)/'Cálculos Mayagüez'!$R$64)+(('Cálculos Mayagüez'!$V$63*(G159)*'Cálculos Mayagüez'!$Z$63)/'Cálculos Mayagüez'!$AB$64)+(('Cálculos Mayagüez'!$AF$63*(G161)*'Cálculos Mayagüez'!$AJ$63)/'Cálculos Mayagüez'!$AL$64)</f>
        <v>4.146701832000001E-4</v>
      </c>
      <c r="H168" s="519">
        <f>(('Cálculos Mayagüez'!$B$63*(H155)*'Cálculos Mayagüez'!$F$63)/'Cálculos Mayagüez'!$H$64)+(('Cálculos Mayagüez'!$L$63*(H157)*'Cálculos Mayagüez'!$P$63)/'Cálculos Mayagüez'!$R$64)+(('Cálculos Mayagüez'!$V$63*(H159)*'Cálculos Mayagüez'!$Z$63)/'Cálculos Mayagüez'!$AB$64)+(('Cálculos Mayagüez'!$AF$63*(H161)*'Cálculos Mayagüez'!$AJ$63)/'Cálculos Mayagüez'!$AL$64)</f>
        <v>5.8507380036000004E-4</v>
      </c>
      <c r="I168" s="519">
        <f>(('Cálculos Mayagüez'!$B$63*(I155)*'Cálculos Mayagüez'!$F$63)/'Cálculos Mayagüez'!$H$64)+(('Cálculos Mayagüez'!$L$63*(I157)*'Cálculos Mayagüez'!$P$63)/'Cálculos Mayagüez'!$R$64)+(('Cálculos Mayagüez'!$V$63*(I159)*'Cálculos Mayagüez'!$Z$63)/'Cálculos Mayagüez'!$AB$64)+(('Cálculos Mayagüez'!$AF$63*(I161)*'Cálculos Mayagüez'!$AJ$63)/'Cálculos Mayagüez'!$AL$64)</f>
        <v>4.0622349852000006E-4</v>
      </c>
      <c r="J168" s="519">
        <f>(('Cálculos Mayagüez'!$B$63*(J155)*'Cálculos Mayagüez'!$F$63)/'Cálculos Mayagüez'!$H$64)+(('Cálculos Mayagüez'!$L$63*(J157)*'Cálculos Mayagüez'!$P$63)/'Cálculos Mayagüez'!$R$64)+(('Cálculos Mayagüez'!$V$63*(J159)*'Cálculos Mayagüez'!$Z$63)/'Cálculos Mayagüez'!$AB$64)+(('Cálculos Mayagüez'!$AF$63*(J161)*'Cálculos Mayagüez'!$AJ$63)/'Cálculos Mayagüez'!$AL$64)</f>
        <v>3.9589305587999998E-4</v>
      </c>
      <c r="K168" s="519">
        <f>(('Cálculos Mayagüez'!$B$63*(K155)*'Cálculos Mayagüez'!$F$63)/'Cálculos Mayagüez'!$H$64)+(('Cálculos Mayagüez'!$L$63*(K157)*'Cálculos Mayagüez'!$P$63)/'Cálculos Mayagüez'!$R$64)+(('Cálculos Mayagüez'!$V$63*(K159)*'Cálculos Mayagüez'!$Z$63)/'Cálculos Mayagüez'!$AB$64)+(('Cálculos Mayagüez'!$AF$63*(K161)*'Cálculos Mayagüez'!$AJ$63)/'Cálculos Mayagüez'!$AL$64)</f>
        <v>1.4134554504000003E-4</v>
      </c>
      <c r="L168" s="519">
        <f>(('Cálculos Mayagüez'!$B$63*(L155)*'Cálculos Mayagüez'!$F$63)/'Cálculos Mayagüez'!$H$64)+(('Cálculos Mayagüez'!$L$63*(L157)*'Cálculos Mayagüez'!$P$63)/'Cálculos Mayagüez'!$R$64)+(('Cálculos Mayagüez'!$V$63*(L159)*'Cálculos Mayagüez'!$Z$63)/'Cálculos Mayagüez'!$AB$64)+(('Cálculos Mayagüez'!$AF$63*(L161)*'Cálculos Mayagüez'!$AJ$63)/'Cálculos Mayagüez'!$AL$64)</f>
        <v>4.7255831280000008E-4</v>
      </c>
      <c r="M168" s="519">
        <f>(('Cálculos Mayagüez'!$B$63*(M155)*'Cálculos Mayagüez'!$F$63)/'Cálculos Mayagüez'!$H$64)+(('Cálculos Mayagüez'!$L$63*(M157)*'Cálculos Mayagüez'!$P$63)/'Cálculos Mayagüez'!$R$64)+(('Cálculos Mayagüez'!$V$63*(M159)*'Cálculos Mayagüez'!$Z$63)/'Cálculos Mayagüez'!$AB$64)+(('Cálculos Mayagüez'!$AF$63*(M161)*'Cálculos Mayagüez'!$AJ$63)/'Cálculos Mayagüez'!$AL$64)</f>
        <v>4.5572093280000006E-4</v>
      </c>
      <c r="N168" s="519">
        <f>(('Cálculos Mayagüez'!$B$63*(N155)*'Cálculos Mayagüez'!$F$63)/'Cálculos Mayagüez'!$H$64)+(('Cálculos Mayagüez'!$L$63*(N157)*'Cálculos Mayagüez'!$P$63)/'Cálculos Mayagüez'!$R$64)+(('Cálculos Mayagüez'!$V$63*(N159)*'Cálculos Mayagüez'!$Z$63)/'Cálculos Mayagüez'!$AB$64)+(('Cálculos Mayagüez'!$AF$63*(N161)*'Cálculos Mayagüez'!$AJ$63)/'Cálculos Mayagüez'!$AL$64)</f>
        <v>8.7533643708000001E-4</v>
      </c>
      <c r="O168" s="533">
        <f t="shared" si="23"/>
        <v>1.1646551662200003E-2</v>
      </c>
    </row>
    <row r="169" spans="1:15" ht="21.75" customHeight="1" x14ac:dyDescent="0.2">
      <c r="A169" s="513" t="s">
        <v>24</v>
      </c>
      <c r="B169" s="513" t="s">
        <v>96</v>
      </c>
      <c r="C169" s="514">
        <f>('Cálculos Mayagüez'!$B$72*((C155))/'Cálculos Mayagüez'!$F$73)+('Cálculos Mayagüez'!$L$72*((C157))/'Cálculos Mayagüez'!$P$73)+('Cálculos Mayagüez'!$V$72*((C159))/'Cálculos Mayagüez'!$Z$73)+('Cálculos Mayagüez'!$AF$72*((C161))/'Cálculos Mayagüez'!$AJ$73)</f>
        <v>37706.417809144303</v>
      </c>
      <c r="D169" s="514">
        <f>('Cálculos Mayagüez'!$B$72*((D155))/'Cálculos Mayagüez'!$F$73)+('Cálculos Mayagüez'!$L$72*((D157))/'Cálculos Mayagüez'!$P$73)+('Cálculos Mayagüez'!$V$72*((D159))/'Cálculos Mayagüez'!$Z$73)+('Cálculos Mayagüez'!$AF$72*((D161))/'Cálculos Mayagüez'!$AJ$73)</f>
        <v>16386.154183237402</v>
      </c>
      <c r="E169" s="514">
        <f>('Cálculos Mayagüez'!$B$72*((E155))/'Cálculos Mayagüez'!$F$73)+('Cálculos Mayagüez'!$L$72*((E157))/'Cálculos Mayagüez'!$P$73)+('Cálculos Mayagüez'!$V$72*((E159))/'Cálculos Mayagüez'!$Z$73)+('Cálculos Mayagüez'!$AF$72*((E161))/'Cálculos Mayagüez'!$AJ$73)</f>
        <v>19357.703505198082</v>
      </c>
      <c r="F169" s="514">
        <f>('Cálculos Mayagüez'!$B$72*((F155))/'Cálculos Mayagüez'!$F$73)+('Cálculos Mayagüez'!$L$72*((F157))/'Cálculos Mayagüez'!$P$73)+('Cálculos Mayagüez'!$V$72*((F159))/'Cálculos Mayagüez'!$Z$73)+('Cálculos Mayagüez'!$AF$72*((F161))/'Cálculos Mayagüez'!$AJ$73)</f>
        <v>18870.337458900009</v>
      </c>
      <c r="G169" s="514">
        <f>('Cálculos Mayagüez'!$B$72*((G155))/'Cálculos Mayagüez'!$F$73)+('Cálculos Mayagüez'!$L$72*((G157))/'Cálculos Mayagüez'!$P$73)+('Cálculos Mayagüez'!$V$72*((G159))/'Cálculos Mayagüez'!$Z$73)+('Cálculos Mayagüez'!$AF$72*((G161))/'Cálculos Mayagüez'!$AJ$73)</f>
        <v>4846.0651173230726</v>
      </c>
      <c r="H169" s="514">
        <f>('Cálculos Mayagüez'!$B$72*((H155))/'Cálculos Mayagüez'!$F$73)+('Cálculos Mayagüez'!$L$72*((H157))/'Cálculos Mayagüez'!$P$73)+('Cálculos Mayagüez'!$V$72*((H159))/'Cálculos Mayagüez'!$Z$73)+('Cálculos Mayagüez'!$AF$72*((H161))/'Cálculos Mayagüez'!$AJ$73)</f>
        <v>6837.4960386692183</v>
      </c>
      <c r="I169" s="514">
        <f>('Cálculos Mayagüez'!$B$72*((I155))/'Cálculos Mayagüez'!$F$73)+('Cálculos Mayagüez'!$L$72*((I157))/'Cálculos Mayagüez'!$P$73)+('Cálculos Mayagüez'!$V$72*((I159))/'Cálculos Mayagüez'!$Z$73)+('Cálculos Mayagüez'!$AF$72*((I161))/'Cálculos Mayagüez'!$AJ$73)</f>
        <v>4747.3524882430283</v>
      </c>
      <c r="J169" s="514">
        <f>('Cálculos Mayagüez'!$B$72*((J155))/'Cálculos Mayagüez'!$F$73)+('Cálculos Mayagüez'!$L$72*((J157))/'Cálculos Mayagüez'!$P$73)+('Cálculos Mayagüez'!$V$72*((J159))/'Cálculos Mayagüez'!$Z$73)+('Cálculos Mayagüez'!$AF$72*((J161))/'Cálculos Mayagüez'!$AJ$73)</f>
        <v>4626.6252217251331</v>
      </c>
      <c r="K169" s="514">
        <f>('Cálculos Mayagüez'!$B$72*((K155))/'Cálculos Mayagüez'!$F$73)+('Cálculos Mayagüez'!$L$72*((K157))/'Cálculos Mayagüez'!$P$73)+('Cálculos Mayagüez'!$V$72*((K159))/'Cálculos Mayagüez'!$Z$73)+('Cálculos Mayagüez'!$AF$72*((K161))/'Cálculos Mayagüez'!$AJ$73)</f>
        <v>1651.8422183660905</v>
      </c>
      <c r="L169" s="514">
        <f>('Cálculos Mayagüez'!$B$72*((L155))/'Cálculos Mayagüez'!$F$73)+('Cálculos Mayagüez'!$L$72*((L157))/'Cálculos Mayagüez'!$P$73)+('Cálculos Mayagüez'!$V$72*((L159))/'Cálculos Mayagüez'!$Z$73)+('Cálculos Mayagüez'!$AF$72*((L161))/'Cálculos Mayagüez'!$AJ$73)</f>
        <v>5522.5778180839434</v>
      </c>
      <c r="M169" s="514">
        <f>('Cálculos Mayagüez'!$B$72*((M155))/'Cálculos Mayagüez'!$F$73)+('Cálculos Mayagüez'!$L$72*((M157))/'Cálculos Mayagüez'!$P$73)+('Cálculos Mayagüez'!$V$72*((M159))/'Cálculos Mayagüez'!$Z$73)+('Cálculos Mayagüez'!$AF$72*((M161))/'Cálculos Mayagüez'!$AJ$73)</f>
        <v>5325.8068825528517</v>
      </c>
      <c r="N169" s="514">
        <f>('Cálculos Mayagüez'!$B$72*((N155))/'Cálculos Mayagüez'!$F$73)+('Cálculos Mayagüez'!$L$72*((N157))/'Cálculos Mayagüez'!$P$73)+('Cálculos Mayagüez'!$V$72*((N159))/'Cálculos Mayagüez'!$Z$73)+('Cálculos Mayagüez'!$AF$72*((N161))/'Cálculos Mayagüez'!$AJ$73)</f>
        <v>10229.665757302151</v>
      </c>
      <c r="O169" s="532">
        <f t="shared" si="23"/>
        <v>136108.04449874529</v>
      </c>
    </row>
    <row r="170" spans="1:15" ht="21.75" customHeight="1" x14ac:dyDescent="0.2">
      <c r="A170" s="535"/>
      <c r="B170" s="535"/>
      <c r="C170" s="536"/>
      <c r="D170" s="536"/>
      <c r="E170" s="536"/>
      <c r="F170" s="536"/>
      <c r="G170" s="536"/>
      <c r="H170" s="536"/>
      <c r="I170" s="536"/>
      <c r="J170" s="536"/>
      <c r="K170" s="536"/>
      <c r="L170" s="536"/>
      <c r="M170" s="536"/>
      <c r="N170" s="536"/>
      <c r="O170" s="536"/>
    </row>
    <row r="171" spans="1:15" ht="21.75" customHeight="1" x14ac:dyDescent="0.2">
      <c r="A171" s="535"/>
      <c r="B171" s="535"/>
      <c r="C171" s="536"/>
      <c r="D171" s="536"/>
      <c r="E171" s="536"/>
      <c r="F171" s="536"/>
      <c r="G171" s="536"/>
      <c r="H171" s="536"/>
      <c r="I171" s="536"/>
      <c r="J171" s="536"/>
      <c r="K171" s="536"/>
      <c r="L171" s="536"/>
      <c r="M171" s="536"/>
      <c r="N171" s="536"/>
      <c r="O171" s="536"/>
    </row>
    <row r="172" spans="1:15" ht="21.75" customHeight="1" x14ac:dyDescent="0.2">
      <c r="A172" s="535"/>
      <c r="B172" s="535"/>
      <c r="C172" s="536"/>
      <c r="D172" s="536"/>
      <c r="E172" s="536"/>
      <c r="F172" s="536"/>
      <c r="G172" s="536"/>
      <c r="H172" s="536"/>
      <c r="I172" s="536"/>
      <c r="J172" s="536"/>
      <c r="K172" s="536"/>
      <c r="L172" s="536"/>
      <c r="M172" s="536"/>
      <c r="N172" s="536"/>
      <c r="O172" s="536"/>
    </row>
    <row r="173" spans="1:15" ht="21.75" customHeight="1" x14ac:dyDescent="0.2">
      <c r="A173" s="535"/>
      <c r="B173" s="535"/>
      <c r="C173" s="536"/>
      <c r="D173" s="536"/>
      <c r="E173" s="536"/>
      <c r="F173" s="536"/>
      <c r="G173" s="536"/>
      <c r="H173" s="536"/>
      <c r="I173" s="536"/>
      <c r="J173" s="536"/>
      <c r="K173" s="536"/>
      <c r="L173" s="536"/>
      <c r="M173" s="536"/>
      <c r="N173" s="536"/>
      <c r="O173" s="536"/>
    </row>
    <row r="174" spans="1:15" ht="21.75" customHeight="1" x14ac:dyDescent="0.2">
      <c r="A174" s="535"/>
      <c r="B174" s="535"/>
      <c r="C174" s="536"/>
      <c r="D174" s="536"/>
      <c r="E174" s="536"/>
      <c r="F174" s="536"/>
      <c r="G174" s="536"/>
      <c r="H174" s="536"/>
      <c r="I174" s="536"/>
      <c r="J174" s="536"/>
      <c r="K174" s="536"/>
      <c r="L174" s="536"/>
      <c r="M174" s="536"/>
      <c r="N174" s="536"/>
      <c r="O174" s="536"/>
    </row>
    <row r="175" spans="1:15" ht="21.75" customHeight="1" x14ac:dyDescent="0.25">
      <c r="A175" s="537"/>
      <c r="B175" s="537"/>
      <c r="C175" s="537"/>
      <c r="D175" s="537"/>
      <c r="E175" s="537"/>
      <c r="F175" s="537"/>
      <c r="G175" s="537"/>
      <c r="H175" s="537"/>
      <c r="I175" s="537"/>
      <c r="J175" s="537"/>
      <c r="K175" s="537"/>
      <c r="L175" s="537"/>
      <c r="M175" s="537"/>
      <c r="N175" s="537"/>
      <c r="O175" s="537"/>
    </row>
    <row r="176" spans="1:15" ht="21.75" customHeight="1" x14ac:dyDescent="0.25">
      <c r="A176" s="537"/>
      <c r="B176" s="537"/>
      <c r="C176" s="537"/>
      <c r="D176" s="537"/>
      <c r="E176" s="537"/>
      <c r="F176" s="537"/>
      <c r="G176" s="537"/>
      <c r="H176" s="537"/>
      <c r="I176" s="537"/>
      <c r="J176" s="537"/>
      <c r="K176" s="537"/>
      <c r="L176" s="537"/>
      <c r="M176" s="537"/>
      <c r="N176" s="537"/>
      <c r="O176" s="537"/>
    </row>
  </sheetData>
  <mergeCells count="13">
    <mergeCell ref="A130:B130"/>
    <mergeCell ref="A142:B142"/>
    <mergeCell ref="A154:B154"/>
    <mergeCell ref="A62:B62"/>
    <mergeCell ref="A74:B74"/>
    <mergeCell ref="A90:B90"/>
    <mergeCell ref="A106:B106"/>
    <mergeCell ref="A118:B118"/>
    <mergeCell ref="A1:O2"/>
    <mergeCell ref="A14:O14"/>
    <mergeCell ref="A15:B15"/>
    <mergeCell ref="A32:B32"/>
    <mergeCell ref="A42:B4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233E5B"/>
  </sheetPr>
  <dimension ref="A1:W1048569"/>
  <sheetViews>
    <sheetView showGridLines="0" zoomScaleNormal="100" workbookViewId="0">
      <pane xSplit="2" ySplit="3" topLeftCell="C4" activePane="bottomRight" state="frozen"/>
      <selection activeCell="L24" sqref="L24"/>
      <selection pane="topRight" activeCell="L24" sqref="L24"/>
      <selection pane="bottomLeft" activeCell="L24" sqref="L24"/>
      <selection pane="bottomRight" activeCell="L24" sqref="L24"/>
    </sheetView>
  </sheetViews>
  <sheetFormatPr defaultColWidth="8.7109375" defaultRowHeight="19.5" x14ac:dyDescent="0.55000000000000004"/>
  <cols>
    <col min="1" max="1" width="45.42578125" style="538" customWidth="1"/>
    <col min="2" max="2" width="11" style="538" customWidth="1"/>
    <col min="3" max="3" width="15.28515625" style="538" customWidth="1"/>
    <col min="4" max="4" width="15.7109375" style="538" customWidth="1"/>
    <col min="5" max="5" width="15.42578125" style="538" customWidth="1"/>
    <col min="6" max="6" width="14.85546875" style="538" customWidth="1"/>
    <col min="7" max="7" width="15.85546875" style="538" customWidth="1"/>
    <col min="8" max="8" width="14.42578125" style="538" customWidth="1"/>
    <col min="9" max="10" width="15.7109375" style="538" customWidth="1"/>
    <col min="11" max="11" width="15.85546875" style="538" customWidth="1"/>
    <col min="12" max="12" width="16.140625" style="538" customWidth="1"/>
    <col min="13" max="13" width="15.85546875" style="538" customWidth="1"/>
    <col min="14" max="14" width="14.7109375" style="538" customWidth="1"/>
    <col min="15" max="15" width="14.5703125" style="538" customWidth="1"/>
    <col min="16" max="16377" width="8.7109375" style="538"/>
    <col min="16378" max="16384" width="11.5703125" style="538" customWidth="1"/>
  </cols>
  <sheetData>
    <row r="1" spans="1:15" ht="21.75" customHeight="1" x14ac:dyDescent="0.55000000000000004">
      <c r="A1" s="611" t="s">
        <v>426</v>
      </c>
      <c r="B1" s="611"/>
      <c r="C1" s="611"/>
      <c r="D1" s="611"/>
      <c r="E1" s="611"/>
      <c r="F1" s="611"/>
      <c r="G1" s="611"/>
      <c r="H1" s="611"/>
      <c r="I1" s="611"/>
      <c r="J1" s="611"/>
      <c r="K1" s="611"/>
      <c r="L1" s="611"/>
      <c r="M1" s="611"/>
      <c r="N1" s="611"/>
      <c r="O1" s="611"/>
    </row>
    <row r="2" spans="1:15" ht="30" customHeight="1" x14ac:dyDescent="0.55000000000000004">
      <c r="A2" s="611"/>
      <c r="B2" s="611"/>
      <c r="C2" s="611"/>
      <c r="D2" s="611"/>
      <c r="E2" s="611"/>
      <c r="F2" s="611"/>
      <c r="G2" s="611"/>
      <c r="H2" s="611"/>
      <c r="I2" s="611"/>
      <c r="J2" s="611"/>
      <c r="K2" s="611"/>
      <c r="L2" s="611"/>
      <c r="M2" s="611"/>
      <c r="N2" s="611"/>
      <c r="O2" s="611"/>
    </row>
    <row r="3" spans="1:15" ht="37.5" customHeight="1" x14ac:dyDescent="0.55000000000000004">
      <c r="A3" s="539" t="s">
        <v>375</v>
      </c>
      <c r="B3" s="539" t="s">
        <v>376</v>
      </c>
      <c r="C3" s="539" t="s">
        <v>427</v>
      </c>
      <c r="D3" s="539" t="s">
        <v>428</v>
      </c>
      <c r="E3" s="539" t="s">
        <v>429</v>
      </c>
      <c r="F3" s="539" t="s">
        <v>430</v>
      </c>
      <c r="G3" s="539" t="s">
        <v>5</v>
      </c>
      <c r="H3" s="539" t="s">
        <v>431</v>
      </c>
      <c r="I3" s="539" t="s">
        <v>432</v>
      </c>
      <c r="J3" s="539" t="s">
        <v>433</v>
      </c>
      <c r="K3" s="539" t="s">
        <v>434</v>
      </c>
      <c r="L3" s="539" t="s">
        <v>435</v>
      </c>
      <c r="M3" s="539" t="s">
        <v>436</v>
      </c>
      <c r="N3" s="539" t="s">
        <v>437</v>
      </c>
      <c r="O3" s="539" t="s">
        <v>26</v>
      </c>
    </row>
    <row r="4" spans="1:15" ht="21.75" customHeight="1" x14ac:dyDescent="0.55000000000000004">
      <c r="A4" s="540" t="s">
        <v>17</v>
      </c>
      <c r="B4" s="540" t="s">
        <v>55</v>
      </c>
      <c r="C4" s="519">
        <f t="shared" ref="C4:O4" si="0">IF(AND(ISNUMBER(C37),ISNUMBER(C17)),IF(C17=0,"n.a.",C37*$C$61/C17),"n.d.")</f>
        <v>1.756620160063025E-2</v>
      </c>
      <c r="D4" s="519">
        <f t="shared" si="0"/>
        <v>2.1289561812902515E-2</v>
      </c>
      <c r="E4" s="519">
        <f t="shared" si="0"/>
        <v>1.5925151276746582E-2</v>
      </c>
      <c r="F4" s="519">
        <f t="shared" si="0"/>
        <v>1.4380437277264719E-2</v>
      </c>
      <c r="G4" s="519">
        <f t="shared" si="0"/>
        <v>1.4344636719372156E-2</v>
      </c>
      <c r="H4" s="519">
        <f t="shared" si="0"/>
        <v>1.8072559924291364E-2</v>
      </c>
      <c r="I4" s="519">
        <f t="shared" si="0"/>
        <v>2.1216124375901927E-2</v>
      </c>
      <c r="J4" s="519">
        <f t="shared" si="0"/>
        <v>1.7167639780256202E-2</v>
      </c>
      <c r="K4" s="519">
        <f t="shared" si="0"/>
        <v>1.8181909802041672E-2</v>
      </c>
      <c r="L4" s="519">
        <f t="shared" si="0"/>
        <v>1.8664319799116882E-2</v>
      </c>
      <c r="M4" s="519">
        <f t="shared" si="0"/>
        <v>1.92997093910438E-2</v>
      </c>
      <c r="N4" s="519">
        <f t="shared" si="0"/>
        <v>2.2113550114351736E-2</v>
      </c>
      <c r="O4" s="541">
        <f t="shared" si="0"/>
        <v>1.8396601014323971E-2</v>
      </c>
    </row>
    <row r="5" spans="1:15" ht="21.75" customHeight="1" x14ac:dyDescent="0.55000000000000004">
      <c r="A5" s="540" t="s">
        <v>18</v>
      </c>
      <c r="B5" s="540" t="s">
        <v>55</v>
      </c>
      <c r="C5" s="519">
        <f t="shared" ref="C5:O5" si="1">IF(AND(ISNUMBER(C38),ISNUMBER(C18)),IF(C18=0,"n.a.",C38*$C$61/C18),"n.d.")</f>
        <v>2.6704088064277931E-2</v>
      </c>
      <c r="D5" s="519">
        <f t="shared" si="1"/>
        <v>3.0561084401968953E-2</v>
      </c>
      <c r="E5" s="519">
        <f t="shared" si="1"/>
        <v>3.1774289132985717E-2</v>
      </c>
      <c r="F5" s="519">
        <f t="shared" si="1"/>
        <v>2.9956380756487301E-2</v>
      </c>
      <c r="G5" s="519">
        <f t="shared" si="1"/>
        <v>2.6429395022136794E-2</v>
      </c>
      <c r="H5" s="519">
        <f t="shared" si="1"/>
        <v>2.6823451081342629E-2</v>
      </c>
      <c r="I5" s="519">
        <f t="shared" si="1"/>
        <v>2.5884730955898425E-2</v>
      </c>
      <c r="J5" s="519">
        <f t="shared" si="1"/>
        <v>1.9307003166222723E-2</v>
      </c>
      <c r="K5" s="519">
        <f t="shared" si="1"/>
        <v>1.7138755641991462E-2</v>
      </c>
      <c r="L5" s="519">
        <f t="shared" si="1"/>
        <v>2.4517420700647479E-2</v>
      </c>
      <c r="M5" s="519">
        <f t="shared" si="1"/>
        <v>2.1732232049532806E-2</v>
      </c>
      <c r="N5" s="519">
        <f t="shared" si="1"/>
        <v>3.0914486846772237E-2</v>
      </c>
      <c r="O5" s="541">
        <f t="shared" si="1"/>
        <v>2.5552071069078558E-2</v>
      </c>
    </row>
    <row r="6" spans="1:15" ht="21.75" customHeight="1" x14ac:dyDescent="0.55000000000000004">
      <c r="A6" s="540" t="s">
        <v>40</v>
      </c>
      <c r="B6" s="540" t="s">
        <v>55</v>
      </c>
      <c r="C6" s="519">
        <f t="shared" ref="C6:O6" si="2">IF(AND(ISNUMBER(C39),ISNUMBER(C19)),IF(C19=0,"n.a.",C39*$C$61/C19),"n.d.")</f>
        <v>1.5548435144197667E-2</v>
      </c>
      <c r="D6" s="519">
        <f t="shared" si="2"/>
        <v>1.868933817019287E-2</v>
      </c>
      <c r="E6" s="519">
        <f t="shared" si="2"/>
        <v>1.8237329443235407E-2</v>
      </c>
      <c r="F6" s="519">
        <f t="shared" si="2"/>
        <v>1.6253793261196369E-2</v>
      </c>
      <c r="G6" s="519">
        <f t="shared" si="2"/>
        <v>1.6152413868232785E-2</v>
      </c>
      <c r="H6" s="519">
        <f t="shared" si="2"/>
        <v>1.8831946151247794E-2</v>
      </c>
      <c r="I6" s="519">
        <f t="shared" si="2"/>
        <v>1.7170506179392125E-2</v>
      </c>
      <c r="J6" s="519">
        <f t="shared" si="2"/>
        <v>1.0010451667086643E-2</v>
      </c>
      <c r="K6" s="519">
        <f t="shared" si="2"/>
        <v>9.5178279871671202E-3</v>
      </c>
      <c r="L6" s="519">
        <f t="shared" si="2"/>
        <v>1.4984907425043376E-2</v>
      </c>
      <c r="M6" s="519">
        <f t="shared" si="2"/>
        <v>1.2917268684786846E-2</v>
      </c>
      <c r="N6" s="519">
        <f t="shared" si="2"/>
        <v>1.9933189095796736E-2</v>
      </c>
      <c r="O6" s="541">
        <f t="shared" si="2"/>
        <v>1.5369420800174772E-2</v>
      </c>
    </row>
    <row r="7" spans="1:15" ht="21.75" customHeight="1" x14ac:dyDescent="0.55000000000000004">
      <c r="A7" s="513" t="s">
        <v>377</v>
      </c>
      <c r="B7" s="513" t="s">
        <v>55</v>
      </c>
      <c r="C7" s="519">
        <f t="shared" ref="C7:O7" si="3">IF(AND(ISNUMBER(C40),ISNUMBER(C16)),IF(C16=0,"n.a.",C40*$C$61/C16),"n.d.")</f>
        <v>0.21506774161127273</v>
      </c>
      <c r="D7" s="519">
        <f t="shared" si="3"/>
        <v>0.26469189081906924</v>
      </c>
      <c r="E7" s="519">
        <f t="shared" si="3"/>
        <v>0.18203082265791076</v>
      </c>
      <c r="F7" s="519">
        <f t="shared" si="3"/>
        <v>0.1513234050421256</v>
      </c>
      <c r="G7" s="519">
        <f t="shared" si="3"/>
        <v>0.21322315548379422</v>
      </c>
      <c r="H7" s="519">
        <f t="shared" si="3"/>
        <v>0.23344427377395027</v>
      </c>
      <c r="I7" s="519">
        <f t="shared" si="3"/>
        <v>0.23439018690697735</v>
      </c>
      <c r="J7" s="519">
        <f t="shared" si="3"/>
        <v>0.1696338115762086</v>
      </c>
      <c r="K7" s="519">
        <f t="shared" si="3"/>
        <v>0.16830114090264706</v>
      </c>
      <c r="L7" s="519">
        <f t="shared" si="3"/>
        <v>0.20248285657752144</v>
      </c>
      <c r="M7" s="519">
        <f t="shared" si="3"/>
        <v>0.20202671344518114</v>
      </c>
      <c r="N7" s="519">
        <f t="shared" si="3"/>
        <v>0.29794638391617401</v>
      </c>
      <c r="O7" s="541">
        <f t="shared" si="3"/>
        <v>0.21095146492851677</v>
      </c>
    </row>
    <row r="8" spans="1:15" ht="21.75" customHeight="1" x14ac:dyDescent="0.55000000000000004">
      <c r="A8" s="513" t="s">
        <v>20</v>
      </c>
      <c r="B8" s="513" t="s">
        <v>55</v>
      </c>
      <c r="C8" s="519">
        <f t="shared" ref="C8:O8" si="4">IF(AND(ISNUMBER(C41),ISNUMBER(C16)),IF(C16=0,"n.a.",C41*$C$61/C16),"n.d.")</f>
        <v>0.3323456123113479</v>
      </c>
      <c r="D8" s="519">
        <f t="shared" si="4"/>
        <v>0.32620953008606163</v>
      </c>
      <c r="E8" s="519">
        <f t="shared" si="4"/>
        <v>0.33182237060856346</v>
      </c>
      <c r="F8" s="519">
        <f t="shared" si="4"/>
        <v>0.35630528382262011</v>
      </c>
      <c r="G8" s="519">
        <f t="shared" si="4"/>
        <v>0.34310862651640606</v>
      </c>
      <c r="H8" s="519">
        <f t="shared" si="4"/>
        <v>0.34880478106450719</v>
      </c>
      <c r="I8" s="519">
        <f t="shared" si="4"/>
        <v>0.35062684852222659</v>
      </c>
      <c r="J8" s="519">
        <f t="shared" si="4"/>
        <v>0.34889467203551527</v>
      </c>
      <c r="K8" s="519">
        <f t="shared" si="4"/>
        <v>0.32417186528286202</v>
      </c>
      <c r="L8" s="519">
        <f t="shared" si="4"/>
        <v>0.34801564604212826</v>
      </c>
      <c r="M8" s="519">
        <f t="shared" si="4"/>
        <v>0.34941990079984347</v>
      </c>
      <c r="N8" s="519">
        <f t="shared" si="4"/>
        <v>0.35045244327261671</v>
      </c>
      <c r="O8" s="541">
        <f t="shared" si="4"/>
        <v>0.34308967536174789</v>
      </c>
    </row>
    <row r="9" spans="1:15" ht="21.75" customHeight="1" x14ac:dyDescent="0.55000000000000004">
      <c r="A9" s="513" t="s">
        <v>22</v>
      </c>
      <c r="B9" s="513" t="s">
        <v>55</v>
      </c>
      <c r="C9" s="519">
        <f t="shared" ref="C9:O9" si="5">IF(AND(ISNUMBER(C42),ISNUMBER(C16)),IF(C16=0,"n.a.",C42*$C$61/C16),"n.d.")</f>
        <v>2.9681283786783513E-3</v>
      </c>
      <c r="D9" s="519">
        <f t="shared" si="5"/>
        <v>3.4513971151020838E-3</v>
      </c>
      <c r="E9" s="519">
        <f t="shared" si="5"/>
        <v>4.2006432618448709E-3</v>
      </c>
      <c r="F9" s="519">
        <f t="shared" si="5"/>
        <v>4.0334153792756016E-3</v>
      </c>
      <c r="G9" s="519">
        <f t="shared" si="5"/>
        <v>2.5077760203818431E-3</v>
      </c>
      <c r="H9" s="519">
        <f t="shared" si="5"/>
        <v>2.4797241366878234E-3</v>
      </c>
      <c r="I9" s="519">
        <f t="shared" si="5"/>
        <v>2.9930548294506156E-3</v>
      </c>
      <c r="J9" s="519">
        <f t="shared" si="5"/>
        <v>2.7826213133567263E-3</v>
      </c>
      <c r="K9" s="519">
        <f t="shared" si="5"/>
        <v>2.8224682974188529E-3</v>
      </c>
      <c r="L9" s="519">
        <f t="shared" si="5"/>
        <v>3.0326957295737349E-3</v>
      </c>
      <c r="M9" s="519">
        <f t="shared" si="5"/>
        <v>2.7740580820978279E-3</v>
      </c>
      <c r="N9" s="519">
        <f t="shared" si="5"/>
        <v>2.7719268272896939E-3</v>
      </c>
      <c r="O9" s="541">
        <f t="shared" si="5"/>
        <v>3.0060028572302835E-3</v>
      </c>
    </row>
    <row r="10" spans="1:15" ht="21.75" customHeight="1" x14ac:dyDescent="0.55000000000000004">
      <c r="A10" s="513" t="s">
        <v>21</v>
      </c>
      <c r="B10" s="513" t="s">
        <v>55</v>
      </c>
      <c r="C10" s="519">
        <f t="shared" ref="C10:O10" si="6">IF(AND(ISNUMBER(C43),ISNUMBER(C16)),IF(C16=0,"n.a.",C43*$C$61/C16),"n.d.")</f>
        <v>1.5552302486162942E-2</v>
      </c>
      <c r="D10" s="519">
        <f t="shared" si="6"/>
        <v>1.6663063178548636E-2</v>
      </c>
      <c r="E10" s="519">
        <f t="shared" si="6"/>
        <v>1.5737041842236739E-2</v>
      </c>
      <c r="F10" s="519">
        <f t="shared" si="6"/>
        <v>1.5105185628376693E-2</v>
      </c>
      <c r="G10" s="519">
        <f t="shared" si="6"/>
        <v>1.4722670191025463E-2</v>
      </c>
      <c r="H10" s="519">
        <f t="shared" si="6"/>
        <v>1.4073720434311062E-2</v>
      </c>
      <c r="I10" s="519">
        <f t="shared" si="6"/>
        <v>1.6608977027753321E-2</v>
      </c>
      <c r="J10" s="519">
        <f t="shared" si="6"/>
        <v>1.728474232948226E-2</v>
      </c>
      <c r="K10" s="519">
        <f t="shared" si="6"/>
        <v>1.8511480549565293E-2</v>
      </c>
      <c r="L10" s="519">
        <f t="shared" si="6"/>
        <v>1.6306438654174794E-2</v>
      </c>
      <c r="M10" s="519">
        <f t="shared" si="6"/>
        <v>1.7957073484443746E-2</v>
      </c>
      <c r="N10" s="519">
        <f t="shared" si="6"/>
        <v>1.7833592108907656E-2</v>
      </c>
      <c r="O10" s="541">
        <f t="shared" si="6"/>
        <v>1.6450846973285499E-2</v>
      </c>
    </row>
    <row r="11" spans="1:15" ht="21.75" customHeight="1" x14ac:dyDescent="0.55000000000000004">
      <c r="A11" s="540" t="s">
        <v>42</v>
      </c>
      <c r="B11" s="540" t="s">
        <v>55</v>
      </c>
      <c r="C11" s="519">
        <f t="shared" ref="C11:O11" si="7">IF(AND(ISNUMBER(C44),ISNUMBER(C20)),IF(C20=0,"n.a.",C44*$C$61/C20),"n.d.")</f>
        <v>7.8738299222993278E-3</v>
      </c>
      <c r="D11" s="519">
        <f t="shared" si="7"/>
        <v>1.1999419561150707E-2</v>
      </c>
      <c r="E11" s="519">
        <f t="shared" si="7"/>
        <v>1.0582666444175524E-2</v>
      </c>
      <c r="F11" s="519">
        <f t="shared" si="7"/>
        <v>9.0646562714314146E-3</v>
      </c>
      <c r="G11" s="519">
        <f t="shared" si="7"/>
        <v>1.0566022165066935E-2</v>
      </c>
      <c r="H11" s="519">
        <f t="shared" si="7"/>
        <v>1.2236778294805215E-2</v>
      </c>
      <c r="I11" s="519">
        <f t="shared" si="7"/>
        <v>1.0149404220472825E-2</v>
      </c>
      <c r="J11" s="519">
        <f t="shared" si="7"/>
        <v>5.4464015642217058E-3</v>
      </c>
      <c r="K11" s="519">
        <f t="shared" si="7"/>
        <v>4.156741065061126E-3</v>
      </c>
      <c r="L11" s="519">
        <f t="shared" si="7"/>
        <v>7.4657479780684301E-3</v>
      </c>
      <c r="M11" s="519">
        <f t="shared" si="7"/>
        <v>7.4559848531309198E-3</v>
      </c>
      <c r="N11" s="519">
        <f t="shared" si="7"/>
        <v>1.3993648351810372E-2</v>
      </c>
      <c r="O11" s="541">
        <f t="shared" si="7"/>
        <v>9.0267056773504096E-3</v>
      </c>
    </row>
    <row r="12" spans="1:15" ht="21.75" customHeight="1" x14ac:dyDescent="0.55000000000000004">
      <c r="A12" s="513" t="s">
        <v>23</v>
      </c>
      <c r="B12" s="513" t="s">
        <v>55</v>
      </c>
      <c r="C12" s="542">
        <f t="shared" ref="C12:O12" si="8">IF(AND(ISNUMBER(C45),ISNUMBER(C16)),IF(C16=0,"n.a.",C45*$C$61/C16),"n.d.")</f>
        <v>6.5206143829071881E-6</v>
      </c>
      <c r="D12" s="542">
        <f t="shared" si="8"/>
        <v>6.9938692142870014E-6</v>
      </c>
      <c r="E12" s="542">
        <f t="shared" si="8"/>
        <v>8.5327219970542894E-6</v>
      </c>
      <c r="F12" s="542">
        <f t="shared" si="8"/>
        <v>8.9107931238177045E-6</v>
      </c>
      <c r="G12" s="542">
        <f t="shared" si="8"/>
        <v>5.4980016543529645E-6</v>
      </c>
      <c r="H12" s="542">
        <f t="shared" si="8"/>
        <v>5.9666560271538905E-6</v>
      </c>
      <c r="I12" s="542">
        <f t="shared" si="8"/>
        <v>6.6110702227388159E-6</v>
      </c>
      <c r="J12" s="542">
        <f t="shared" si="8"/>
        <v>5.6319734720155235E-6</v>
      </c>
      <c r="K12" s="542">
        <f t="shared" si="8"/>
        <v>4.9567191044508656E-6</v>
      </c>
      <c r="L12" s="542">
        <f t="shared" si="8"/>
        <v>6.1569046517097589E-6</v>
      </c>
      <c r="M12" s="542">
        <f t="shared" si="8"/>
        <v>5.8973596888305285E-6</v>
      </c>
      <c r="N12" s="542">
        <f t="shared" si="8"/>
        <v>6.5417868893690302E-6</v>
      </c>
      <c r="O12" s="543">
        <f t="shared" si="8"/>
        <v>6.3706516411885632E-6</v>
      </c>
    </row>
    <row r="13" spans="1:15" ht="21.75" customHeight="1" x14ac:dyDescent="0.55000000000000004">
      <c r="A13" s="513" t="s">
        <v>438</v>
      </c>
      <c r="B13" s="513" t="s">
        <v>55</v>
      </c>
      <c r="C13" s="534">
        <f t="shared" ref="C13:O13" si="9">IF(AND(ISNUMBER(C46),ISNUMBER(C16)),IF(C16=0,"n.a.",C46*$C$61/C16),"n.d.")</f>
        <v>146.90338069198805</v>
      </c>
      <c r="D13" s="534">
        <f t="shared" si="9"/>
        <v>151.08583555004753</v>
      </c>
      <c r="E13" s="534">
        <f t="shared" si="9"/>
        <v>150.75037679675532</v>
      </c>
      <c r="F13" s="534">
        <f t="shared" si="9"/>
        <v>149.83580443536991</v>
      </c>
      <c r="G13" s="534">
        <f t="shared" si="9"/>
        <v>145.28400754164673</v>
      </c>
      <c r="H13" s="534">
        <f t="shared" si="9"/>
        <v>149.37789071984838</v>
      </c>
      <c r="I13" s="534">
        <f t="shared" si="9"/>
        <v>149.49023711165236</v>
      </c>
      <c r="J13" s="534">
        <f t="shared" si="9"/>
        <v>140.70177629151991</v>
      </c>
      <c r="K13" s="534">
        <f t="shared" si="9"/>
        <v>138.77045778071911</v>
      </c>
      <c r="L13" s="534">
        <f t="shared" si="9"/>
        <v>145.66077867030106</v>
      </c>
      <c r="M13" s="534">
        <f t="shared" si="9"/>
        <v>144.94663724384606</v>
      </c>
      <c r="N13" s="534">
        <f t="shared" si="9"/>
        <v>153.76397332333082</v>
      </c>
      <c r="O13" s="544">
        <f t="shared" si="9"/>
        <v>146.79423177120981</v>
      </c>
    </row>
    <row r="14" spans="1:15" ht="31.5" customHeight="1" x14ac:dyDescent="0.55000000000000004">
      <c r="A14" s="610" t="s">
        <v>439</v>
      </c>
      <c r="B14" s="610"/>
      <c r="C14" s="545"/>
      <c r="D14" s="545"/>
      <c r="E14" s="545"/>
      <c r="F14" s="545"/>
      <c r="G14" s="545"/>
      <c r="H14" s="545"/>
      <c r="I14" s="545"/>
      <c r="J14" s="545"/>
      <c r="K14" s="545"/>
      <c r="L14" s="545"/>
      <c r="M14" s="545"/>
      <c r="N14" s="545"/>
      <c r="O14" s="545"/>
    </row>
    <row r="15" spans="1:15" ht="37.5" customHeight="1" x14ac:dyDescent="0.55000000000000004">
      <c r="A15" s="539" t="s">
        <v>375</v>
      </c>
      <c r="B15" s="539" t="s">
        <v>376</v>
      </c>
      <c r="C15" s="539" t="s">
        <v>427</v>
      </c>
      <c r="D15" s="539" t="s">
        <v>428</v>
      </c>
      <c r="E15" s="539" t="s">
        <v>429</v>
      </c>
      <c r="F15" s="539" t="s">
        <v>430</v>
      </c>
      <c r="G15" s="539" t="s">
        <v>5</v>
      </c>
      <c r="H15" s="539" t="s">
        <v>431</v>
      </c>
      <c r="I15" s="539" t="s">
        <v>432</v>
      </c>
      <c r="J15" s="539" t="s">
        <v>433</v>
      </c>
      <c r="K15" s="539" t="s">
        <v>434</v>
      </c>
      <c r="L15" s="539" t="s">
        <v>435</v>
      </c>
      <c r="M15" s="539" t="s">
        <v>436</v>
      </c>
      <c r="N15" s="539" t="s">
        <v>437</v>
      </c>
      <c r="O15" s="539" t="s">
        <v>26</v>
      </c>
    </row>
    <row r="16" spans="1:15" ht="21.75" customHeight="1" x14ac:dyDescent="0.55000000000000004">
      <c r="A16" s="513" t="s">
        <v>440</v>
      </c>
      <c r="B16" s="513" t="s">
        <v>136</v>
      </c>
      <c r="C16" s="546">
        <f t="shared" ref="C16:N16" si="10">IF(COUNT(C119,C120,C121,C122,C123,C124,C125,C126,C127,C128,C129,C130,C131,C132,C133,C134,C135,C136,C137,C138,C139,C140)=22,SUM(C119,C120,C121,C122,C123,C124,C125,C126,C127,C128,C129,C130,C131,C132,C133,C134,C135,C136,C137,C138,C139,C140),"n.d.")</f>
        <v>8317159.0567192007</v>
      </c>
      <c r="D16" s="546">
        <f t="shared" si="10"/>
        <v>7611270.2493331991</v>
      </c>
      <c r="E16" s="546">
        <f t="shared" si="10"/>
        <v>6544769.4348943988</v>
      </c>
      <c r="F16" s="546">
        <f t="shared" si="10"/>
        <v>6860271.7858451987</v>
      </c>
      <c r="G16" s="546">
        <f t="shared" si="10"/>
        <v>8227065.1946471985</v>
      </c>
      <c r="H16" s="546">
        <f t="shared" si="10"/>
        <v>10046919.3617844</v>
      </c>
      <c r="I16" s="546">
        <f t="shared" si="10"/>
        <v>10463535.176907001</v>
      </c>
      <c r="J16" s="546">
        <f t="shared" si="10"/>
        <v>10698132.020758199</v>
      </c>
      <c r="K16" s="546">
        <f t="shared" si="10"/>
        <v>10278913.652906001</v>
      </c>
      <c r="L16" s="546">
        <f t="shared" si="10"/>
        <v>13316761.755215999</v>
      </c>
      <c r="M16" s="546">
        <f t="shared" si="10"/>
        <v>10657341.154267201</v>
      </c>
      <c r="N16" s="546">
        <f t="shared" si="10"/>
        <v>8660960.9275233988</v>
      </c>
      <c r="O16" s="547">
        <f>IF(COUNT(C16:N16)=12,SUM(C16:N16),"n.d.")</f>
        <v>111683099.77080141</v>
      </c>
    </row>
    <row r="17" spans="1:15" ht="21.75" customHeight="1" x14ac:dyDescent="0.55000000000000004">
      <c r="A17" s="513" t="s">
        <v>441</v>
      </c>
      <c r="B17" s="513" t="s">
        <v>136</v>
      </c>
      <c r="C17" s="546">
        <f t="shared" ref="C17:N17" si="11">IF(COUNT(C119,C120,C121,C122,C123,C124,C125,C126,C127,C128,C129,C130,C136,C137,C138,C139,C140)=17,SUM(C119,C120,C121,C122,C123,C124,C125,C126,C127,C128,C129,C130,C136,C137,C138,C139,C140),"n.d.")</f>
        <v>6661899.8349592006</v>
      </c>
      <c r="D17" s="546">
        <f t="shared" si="11"/>
        <v>6123308.0400931993</v>
      </c>
      <c r="E17" s="546">
        <f t="shared" si="11"/>
        <v>4634524.7133163987</v>
      </c>
      <c r="F17" s="546">
        <f t="shared" si="11"/>
        <v>4838592.5925251991</v>
      </c>
      <c r="G17" s="546">
        <f t="shared" si="11"/>
        <v>6783342.8922071997</v>
      </c>
      <c r="H17" s="546">
        <f t="shared" si="11"/>
        <v>8946063.3621444013</v>
      </c>
      <c r="I17" s="546">
        <f t="shared" si="11"/>
        <v>9121365.4487069994</v>
      </c>
      <c r="J17" s="546">
        <f t="shared" si="11"/>
        <v>9335473.3946381994</v>
      </c>
      <c r="K17" s="546">
        <f t="shared" si="11"/>
        <v>9204288.9917060006</v>
      </c>
      <c r="L17" s="546">
        <f t="shared" si="11"/>
        <v>11198798.197535999</v>
      </c>
      <c r="M17" s="546">
        <f t="shared" si="11"/>
        <v>9226844.996467201</v>
      </c>
      <c r="N17" s="546">
        <f t="shared" si="11"/>
        <v>6857511.2204433996</v>
      </c>
      <c r="O17" s="547">
        <f>IF(COUNT(C17:N17)=12,SUM(C17:N17),"n.d.")</f>
        <v>92932013.684743404</v>
      </c>
    </row>
    <row r="18" spans="1:15" ht="21.75" customHeight="1" x14ac:dyDescent="0.55000000000000004">
      <c r="A18" s="513" t="s">
        <v>442</v>
      </c>
      <c r="B18" s="513" t="s">
        <v>136</v>
      </c>
      <c r="C18" s="546">
        <f t="shared" ref="C18:N18" si="12">IF(COUNT(C119,C120,C121,C122,C124,C125,C126,C127,C128,C131,C132,C133,C134,C135)=14,SUM(C119,C120,C121,C122,C124,C125,C126,C127,C128,C131,C132,C133,C134,C135),"n.d.")</f>
        <v>6535499.4891592003</v>
      </c>
      <c r="D18" s="546">
        <f t="shared" si="12"/>
        <v>6114143.6714132</v>
      </c>
      <c r="E18" s="546">
        <f t="shared" si="12"/>
        <v>5666606.5204543993</v>
      </c>
      <c r="F18" s="546">
        <f t="shared" si="12"/>
        <v>5642839.5642851992</v>
      </c>
      <c r="G18" s="546">
        <f t="shared" si="12"/>
        <v>7342606.7671271991</v>
      </c>
      <c r="H18" s="546">
        <f t="shared" si="12"/>
        <v>8172066.0998243988</v>
      </c>
      <c r="I18" s="546">
        <f t="shared" si="12"/>
        <v>7598273.0649870001</v>
      </c>
      <c r="J18" s="546">
        <f t="shared" si="12"/>
        <v>7938931.4927981999</v>
      </c>
      <c r="K18" s="546">
        <f t="shared" si="12"/>
        <v>7639592.6786660012</v>
      </c>
      <c r="L18" s="546">
        <f t="shared" si="12"/>
        <v>10276183.340736</v>
      </c>
      <c r="M18" s="546">
        <f t="shared" si="12"/>
        <v>7744215.9495072011</v>
      </c>
      <c r="N18" s="546">
        <f t="shared" si="12"/>
        <v>6795741.1034433991</v>
      </c>
      <c r="O18" s="547">
        <f>IF(COUNT(C18:N18)=12,SUM(C18:N18),"n.d.")</f>
        <v>87466699.742401406</v>
      </c>
    </row>
    <row r="19" spans="1:15" ht="21.75" customHeight="1" x14ac:dyDescent="0.55000000000000004">
      <c r="A19" s="513" t="s">
        <v>443</v>
      </c>
      <c r="B19" s="513" t="s">
        <v>136</v>
      </c>
      <c r="C19" s="546">
        <f t="shared" ref="C19:N19" si="13">IF(COUNT(C119,C120,C121,C122,C125,C126,C127,C128,C133,C134)=10,SUM(C119,C120,C121,C122,C125,C126,C127,C128,C133,C134),"n.d.")</f>
        <v>4783786.5863992004</v>
      </c>
      <c r="D19" s="546">
        <f t="shared" si="13"/>
        <v>4184798.1371732</v>
      </c>
      <c r="E19" s="546">
        <f t="shared" si="13"/>
        <v>3417057.4998764</v>
      </c>
      <c r="F19" s="546">
        <f t="shared" si="13"/>
        <v>3461035.9229651997</v>
      </c>
      <c r="G19" s="546">
        <f t="shared" si="13"/>
        <v>5439000.9706872003</v>
      </c>
      <c r="H19" s="546">
        <f t="shared" si="13"/>
        <v>6580394.9381844001</v>
      </c>
      <c r="I19" s="546">
        <f t="shared" si="13"/>
        <v>5850074.6997869993</v>
      </c>
      <c r="J19" s="546">
        <f t="shared" si="13"/>
        <v>6104209.0576781994</v>
      </c>
      <c r="K19" s="546">
        <f t="shared" si="13"/>
        <v>6140168.6264660014</v>
      </c>
      <c r="L19" s="546">
        <f t="shared" si="13"/>
        <v>7770040.6330560008</v>
      </c>
      <c r="M19" s="546">
        <f t="shared" si="13"/>
        <v>5861824.1997071998</v>
      </c>
      <c r="N19" s="546">
        <f t="shared" si="13"/>
        <v>4560624.0153633989</v>
      </c>
      <c r="O19" s="547">
        <f>IF(COUNT(C19:N19)=12,SUM(C19:N19),"n.d.")</f>
        <v>64153015.287343398</v>
      </c>
    </row>
    <row r="20" spans="1:15" ht="21.75" customHeight="1" x14ac:dyDescent="0.55000000000000004">
      <c r="A20" s="513" t="s">
        <v>444</v>
      </c>
      <c r="B20" s="513" t="s">
        <v>136</v>
      </c>
      <c r="C20" s="546">
        <f t="shared" ref="C20:N20" si="14">IF(COUNT(C119,C120,C121,C122,C124,C125,C126,C127,C128,C133,C134)=11,SUM(C119,C120,C121,C122,C124,C125,C126,C127,C128,C133,C134),"n.d.")</f>
        <v>4956402.7433992</v>
      </c>
      <c r="D20" s="546">
        <f t="shared" si="14"/>
        <v>4707605.4641732005</v>
      </c>
      <c r="E20" s="546">
        <f t="shared" si="14"/>
        <v>4010929.7088763998</v>
      </c>
      <c r="F20" s="546">
        <f t="shared" si="14"/>
        <v>3995282.0969651993</v>
      </c>
      <c r="G20" s="546">
        <f t="shared" si="14"/>
        <v>5991976.9186871992</v>
      </c>
      <c r="H20" s="546">
        <f t="shared" si="14"/>
        <v>7179251.2661843998</v>
      </c>
      <c r="I20" s="546">
        <f t="shared" si="14"/>
        <v>6374608.3527870001</v>
      </c>
      <c r="J20" s="546">
        <f t="shared" si="14"/>
        <v>6699917.9686781997</v>
      </c>
      <c r="K20" s="546">
        <f t="shared" si="14"/>
        <v>6615069.7454660013</v>
      </c>
      <c r="L20" s="546">
        <f t="shared" si="14"/>
        <v>8322950.935056</v>
      </c>
      <c r="M20" s="546">
        <f t="shared" si="14"/>
        <v>6441172.4517072011</v>
      </c>
      <c r="N20" s="546">
        <f t="shared" si="14"/>
        <v>5076162.2763633989</v>
      </c>
      <c r="O20" s="547">
        <f>IF(COUNT(C20:N20)=12,SUM(C20:N20),"n.d.")</f>
        <v>70371329.9283434</v>
      </c>
    </row>
    <row r="21" spans="1:15" ht="21.75" customHeight="1" x14ac:dyDescent="0.55000000000000004">
      <c r="A21" s="513"/>
      <c r="B21" s="513"/>
      <c r="C21" s="548"/>
      <c r="D21" s="548"/>
      <c r="E21" s="548"/>
      <c r="F21" s="548"/>
      <c r="G21" s="548"/>
      <c r="H21" s="548"/>
      <c r="I21" s="548"/>
      <c r="J21" s="548"/>
      <c r="K21" s="548"/>
      <c r="L21" s="548"/>
      <c r="M21" s="548"/>
      <c r="N21" s="548"/>
      <c r="O21" s="548"/>
    </row>
    <row r="22" spans="1:15" ht="21.75" customHeight="1" x14ac:dyDescent="0.55000000000000004">
      <c r="A22" s="549" t="s">
        <v>445</v>
      </c>
      <c r="B22" s="549"/>
      <c r="C22" s="550"/>
      <c r="D22" s="550"/>
      <c r="E22" s="550"/>
      <c r="F22" s="550"/>
      <c r="G22" s="550"/>
      <c r="H22" s="550"/>
      <c r="I22" s="550"/>
      <c r="J22" s="550"/>
      <c r="K22" s="550"/>
      <c r="L22" s="550"/>
      <c r="M22" s="550"/>
      <c r="N22" s="550"/>
      <c r="O22" s="550"/>
    </row>
    <row r="23" spans="1:15" ht="37.5" customHeight="1" x14ac:dyDescent="0.55000000000000004">
      <c r="A23" s="539" t="s">
        <v>375</v>
      </c>
      <c r="B23" s="539" t="s">
        <v>376</v>
      </c>
      <c r="C23" s="539" t="s">
        <v>427</v>
      </c>
      <c r="D23" s="539" t="s">
        <v>428</v>
      </c>
      <c r="E23" s="539" t="s">
        <v>429</v>
      </c>
      <c r="F23" s="539" t="s">
        <v>430</v>
      </c>
      <c r="G23" s="539" t="s">
        <v>5</v>
      </c>
      <c r="H23" s="539" t="s">
        <v>431</v>
      </c>
      <c r="I23" s="539" t="s">
        <v>432</v>
      </c>
      <c r="J23" s="539" t="s">
        <v>433</v>
      </c>
      <c r="K23" s="539" t="s">
        <v>434</v>
      </c>
      <c r="L23" s="539" t="s">
        <v>435</v>
      </c>
      <c r="M23" s="539" t="s">
        <v>436</v>
      </c>
      <c r="N23" s="539" t="s">
        <v>437</v>
      </c>
      <c r="O23" s="539" t="s">
        <v>26</v>
      </c>
    </row>
    <row r="24" spans="1:15" ht="21.75" customHeight="1" x14ac:dyDescent="0.55000000000000004">
      <c r="A24" s="513" t="s">
        <v>17</v>
      </c>
      <c r="B24" s="513" t="s">
        <v>446</v>
      </c>
      <c r="C24" s="551">
        <f>IF(ISNUMBER('Mensual 2025'!C4),'Mensual 2025'!C4,"n.d.")</f>
        <v>58.512137772049357</v>
      </c>
      <c r="D24" s="551">
        <f>IF(ISNUMBER('Mensual 2025'!D4),'Mensual 2025'!D4,"n.d.")</f>
        <v>65.181272509503557</v>
      </c>
      <c r="E24" s="551">
        <f>IF(ISNUMBER('Mensual 2025'!E4),'Mensual 2025'!E4,"n.d.")</f>
        <v>36.902753577692124</v>
      </c>
      <c r="F24" s="551">
        <f>IF(ISNUMBER('Mensual 2025'!F4),'Mensual 2025'!F4,"n.d.")</f>
        <v>34.790538643523156</v>
      </c>
      <c r="G24" s="551">
        <f>IF(ISNUMBER('Mensual 2025'!G4),'Mensual 2025'!G4,"n.d.")</f>
        <v>48.652294765823761</v>
      </c>
      <c r="H24" s="551">
        <f>IF(ISNUMBER('Mensual 2025'!H4),'Mensual 2025'!H4,"n.d.")</f>
        <v>80.839133099431081</v>
      </c>
      <c r="I24" s="551">
        <f>IF(ISNUMBER('Mensual 2025'!I4),'Mensual 2025'!I4,"n.d.")</f>
        <v>96.760011918911104</v>
      </c>
      <c r="J24" s="551">
        <f>IF(ISNUMBER('Mensual 2025'!J4),'Mensual 2025'!J4,"n.d.")</f>
        <v>80.134022208657072</v>
      </c>
      <c r="K24" s="551">
        <f>IF(ISNUMBER('Mensual 2025'!K4),'Mensual 2025'!K4,"n.d.")</f>
        <v>83.675776119561789</v>
      </c>
      <c r="L24" s="551">
        <f>IF(ISNUMBER('Mensual 2025'!L4),'Mensual 2025'!L4,"n.d.")</f>
        <v>104.5089754622928</v>
      </c>
      <c r="M24" s="551">
        <f>IF(ISNUMBER('Mensual 2025'!M4),'Mensual 2025'!M4,"n.d.")</f>
        <v>89.037713514011756</v>
      </c>
      <c r="N24" s="551">
        <f>IF(ISNUMBER('Mensual 2025'!N4),'Mensual 2025'!N4,"n.d.")</f>
        <v>75.82195901650222</v>
      </c>
      <c r="O24" s="552">
        <f t="shared" ref="O24:O33" si="15">IF(COUNT(C24:N24)=12,SUM(C24:N24),"n.d.")</f>
        <v>854.81658860795983</v>
      </c>
    </row>
    <row r="25" spans="1:15" ht="21.75" customHeight="1" x14ac:dyDescent="0.55000000000000004">
      <c r="A25" s="513" t="s">
        <v>18</v>
      </c>
      <c r="B25" s="513" t="s">
        <v>446</v>
      </c>
      <c r="C25" s="551">
        <f>IF(ISNUMBER('Mensual 2025'!C5),'Mensual 2025'!C5,"n.d.")</f>
        <v>87.262276951275354</v>
      </c>
      <c r="D25" s="551">
        <f>IF(ISNUMBER('Mensual 2025'!D5),'Mensual 2025'!D5,"n.d.")</f>
        <v>93.427430393911564</v>
      </c>
      <c r="E25" s="551">
        <f>IF(ISNUMBER('Mensual 2025'!E5),'Mensual 2025'!E5,"n.d.")</f>
        <v>90.026196991890117</v>
      </c>
      <c r="F25" s="551">
        <f>IF(ISNUMBER('Mensual 2025'!F5),'Mensual 2025'!F5,"n.d.")</f>
        <v>84.51952526774916</v>
      </c>
      <c r="G25" s="551">
        <f>IF(ISNUMBER('Mensual 2025'!G5),'Mensual 2025'!G5,"n.d.")</f>
        <v>97.030327370309763</v>
      </c>
      <c r="H25" s="551">
        <f>IF(ISNUMBER('Mensual 2025'!H5),'Mensual 2025'!H5,"n.d.")</f>
        <v>109.60150763106911</v>
      </c>
      <c r="I25" s="551">
        <f>IF(ISNUMBER('Mensual 2025'!I5),'Mensual 2025'!I5,"n.d.")</f>
        <v>98.339627008319098</v>
      </c>
      <c r="J25" s="551">
        <f>IF(ISNUMBER('Mensual 2025'!J5),'Mensual 2025'!J5,"n.d.")</f>
        <v>76.638487733940067</v>
      </c>
      <c r="K25" s="551">
        <f>IF(ISNUMBER('Mensual 2025'!K5),'Mensual 2025'!K5,"n.d.")</f>
        <v>65.4665560620018</v>
      </c>
      <c r="L25" s="551">
        <f>IF(ISNUMBER('Mensual 2025'!L5),'Mensual 2025'!L5,"n.d.")</f>
        <v>125.97275508090478</v>
      </c>
      <c r="M25" s="551">
        <f>IF(ISNUMBER('Mensual 2025'!M5),'Mensual 2025'!M5,"n.d.")</f>
        <v>84.149549028191757</v>
      </c>
      <c r="N25" s="551">
        <f>IF(ISNUMBER('Mensual 2025'!N5),'Mensual 2025'!N5,"n.d.")</f>
        <v>105.04342447823521</v>
      </c>
      <c r="O25" s="552">
        <f t="shared" si="15"/>
        <v>1117.4776639977979</v>
      </c>
    </row>
    <row r="26" spans="1:15" ht="21.75" customHeight="1" x14ac:dyDescent="0.55000000000000004">
      <c r="A26" s="513" t="s">
        <v>40</v>
      </c>
      <c r="B26" s="513" t="s">
        <v>446</v>
      </c>
      <c r="C26" s="551">
        <f>IF(ISNUMBER('Mensual 2025'!C6),'Mensual 2025'!C6,"n.d.")</f>
        <v>37.190197741155359</v>
      </c>
      <c r="D26" s="551">
        <f>IF(ISNUMBER('Mensual 2025'!D6),'Mensual 2025'!D6,"n.d.")</f>
        <v>39.105553779811558</v>
      </c>
      <c r="E26" s="551">
        <f>IF(ISNUMBER('Mensual 2025'!E6),'Mensual 2025'!E6,"n.d.")</f>
        <v>31.159001675862122</v>
      </c>
      <c r="F26" s="551">
        <f>IF(ISNUMBER('Mensual 2025'!F6),'Mensual 2025'!F6,"n.d.")</f>
        <v>28.127481180725162</v>
      </c>
      <c r="G26" s="551">
        <f>IF(ISNUMBER('Mensual 2025'!G6),'Mensual 2025'!G6,"n.d.")</f>
        <v>43.926497354129758</v>
      </c>
      <c r="H26" s="551">
        <f>IF(ISNUMBER('Mensual 2025'!H6),'Mensual 2025'!H6,"n.d.")</f>
        <v>61.960821564916081</v>
      </c>
      <c r="I26" s="551">
        <f>IF(ISNUMBER('Mensual 2025'!I6),'Mensual 2025'!I6,"n.d.")</f>
        <v>50.2243718912991</v>
      </c>
      <c r="J26" s="551">
        <f>IF(ISNUMBER('Mensual 2025'!J6),'Mensual 2025'!J6,"n.d.")</f>
        <v>30.552944868840058</v>
      </c>
      <c r="K26" s="551">
        <f>IF(ISNUMBER('Mensual 2025'!K6),'Mensual 2025'!K6,"n.d.")</f>
        <v>29.2205343994518</v>
      </c>
      <c r="L26" s="551">
        <f>IF(ISNUMBER('Mensual 2025'!L6),'Mensual 2025'!L6,"n.d.")</f>
        <v>58.216669787584799</v>
      </c>
      <c r="M26" s="551">
        <f>IF(ISNUMBER('Mensual 2025'!M6),'Mensual 2025'!M6,"n.d.")</f>
        <v>37.859379085301761</v>
      </c>
      <c r="N26" s="551">
        <f>IF(ISNUMBER('Mensual 2025'!N6),'Mensual 2025'!N6,"n.d.")</f>
        <v>45.453890446535219</v>
      </c>
      <c r="O26" s="552">
        <f t="shared" si="15"/>
        <v>492.99734377561288</v>
      </c>
    </row>
    <row r="27" spans="1:15" ht="21.75" customHeight="1" x14ac:dyDescent="0.55000000000000004">
      <c r="A27" s="513" t="s">
        <v>377</v>
      </c>
      <c r="B27" s="513" t="s">
        <v>446</v>
      </c>
      <c r="C27" s="551">
        <f>IF(ISNUMBER('Mensual 2025'!C7),'Mensual 2025'!C7,"n.d.")</f>
        <v>894.37630747517096</v>
      </c>
      <c r="D27" s="551">
        <f>IF(ISNUMBER('Mensual 2025'!D7),'Mensual 2025'!D7,"n.d.")</f>
        <v>1007.3207569154666</v>
      </c>
      <c r="E27" s="551">
        <f>IF(ISNUMBER('Mensual 2025'!E7),'Mensual 2025'!E7,"n.d.")</f>
        <v>595.67488217008861</v>
      </c>
      <c r="F27" s="551">
        <f>IF(ISNUMBER('Mensual 2025'!F7),'Mensual 2025'!F7,"n.d.")</f>
        <v>519.05984307425967</v>
      </c>
      <c r="G27" s="551">
        <f>IF(ISNUMBER('Mensual 2025'!G7),'Mensual 2025'!G7,"n.d.")</f>
        <v>877.10040058678578</v>
      </c>
      <c r="H27" s="551">
        <f>IF(ISNUMBER('Mensual 2025'!H7),'Mensual 2025'!H7,"n.d.")</f>
        <v>1172.6978970385996</v>
      </c>
      <c r="I27" s="551">
        <f>IF(ISNUMBER('Mensual 2025'!I7),'Mensual 2025'!I7,"n.d.")</f>
        <v>1226.2749829114823</v>
      </c>
      <c r="J27" s="551">
        <f>IF(ISNUMBER('Mensual 2025'!J7),'Mensual 2025'!J7,"n.d.")</f>
        <v>907.38245571334994</v>
      </c>
      <c r="K27" s="551">
        <f>IF(ISNUMBER('Mensual 2025'!K7),'Mensual 2025'!K7,"n.d.")</f>
        <v>864.97644751193775</v>
      </c>
      <c r="L27" s="551">
        <f>IF(ISNUMBER('Mensual 2025'!L7),'Mensual 2025'!L7,"n.d.")</f>
        <v>1348.2079802792118</v>
      </c>
      <c r="M27" s="551">
        <f>IF(ISNUMBER('Mensual 2025'!M7),'Mensual 2025'!M7,"n.d.")</f>
        <v>1076.5338037303379</v>
      </c>
      <c r="N27" s="551">
        <f>IF(ISNUMBER('Mensual 2025'!N7),'Mensual 2025'!N7,"n.d.")</f>
        <v>1290.2509947974345</v>
      </c>
      <c r="O27" s="552">
        <f t="shared" si="15"/>
        <v>11779.856752204125</v>
      </c>
    </row>
    <row r="28" spans="1:15" ht="21.75" customHeight="1" x14ac:dyDescent="0.55000000000000004">
      <c r="A28" s="513" t="s">
        <v>20</v>
      </c>
      <c r="B28" s="513" t="s">
        <v>446</v>
      </c>
      <c r="C28" s="551">
        <f>IF(ISNUMBER('Mensual 2025'!C8),'Mensual 2025'!C8,"n.d.")</f>
        <v>1382.0856596981077</v>
      </c>
      <c r="D28" s="551">
        <f>IF(ISNUMBER('Mensual 2025'!D8),'Mensual 2025'!D8,"n.d.")</f>
        <v>1241.4344456965021</v>
      </c>
      <c r="E28" s="551">
        <f>IF(ISNUMBER('Mensual 2025'!E8),'Mensual 2025'!E8,"n.d.")</f>
        <v>1085.8504544865639</v>
      </c>
      <c r="F28" s="551">
        <f>IF(ISNUMBER('Mensual 2025'!F8),'Mensual 2025'!F8,"n.d.")</f>
        <v>1222.1755428779434</v>
      </c>
      <c r="G28" s="551">
        <f>IF(ISNUMBER('Mensual 2025'!G8),'Mensual 2025'!G8,"n.d.")</f>
        <v>1411.3885195981645</v>
      </c>
      <c r="H28" s="551">
        <f>IF(ISNUMBER('Mensual 2025'!H8),'Mensual 2025'!H8,"n.d.")</f>
        <v>1752.2067541799829</v>
      </c>
      <c r="I28" s="551">
        <f>IF(ISNUMBER('Mensual 2025'!I8),'Mensual 2025'!I8,"n.d.")</f>
        <v>1834.3981817401802</v>
      </c>
      <c r="J28" s="551">
        <f>IF(ISNUMBER('Mensual 2025'!J8),'Mensual 2025'!J8,"n.d.")</f>
        <v>1866.2606313875381</v>
      </c>
      <c r="K28" s="551">
        <f>IF(ISNUMBER('Mensual 2025'!K8),'Mensual 2025'!K8,"n.d.")</f>
        <v>1666.0673059720075</v>
      </c>
      <c r="L28" s="551">
        <f>IF(ISNUMBER('Mensual 2025'!L8),'Mensual 2025'!L8,"n.d.")</f>
        <v>2317.2207227153008</v>
      </c>
      <c r="M28" s="551">
        <f>IF(ISNUMBER('Mensual 2025'!M8),'Mensual 2025'!M8,"n.d.")</f>
        <v>1861.9435444570674</v>
      </c>
      <c r="N28" s="551">
        <f>IF(ISNUMBER('Mensual 2025'!N8),'Mensual 2025'!N8,"n.d.")</f>
        <v>1517.6274590696219</v>
      </c>
      <c r="O28" s="552">
        <f t="shared" si="15"/>
        <v>19158.659221878981</v>
      </c>
    </row>
    <row r="29" spans="1:15" ht="21.75" customHeight="1" x14ac:dyDescent="0.55000000000000004">
      <c r="A29" s="513" t="s">
        <v>22</v>
      </c>
      <c r="B29" s="513" t="s">
        <v>446</v>
      </c>
      <c r="C29" s="551">
        <f>IF(ISNUMBER('Mensual 2025'!C9),'Mensual 2025'!C9,"n.d.")</f>
        <v>12.343197913114963</v>
      </c>
      <c r="D29" s="551">
        <f>IF(ISNUMBER('Mensual 2025'!D9),'Mensual 2025'!D9,"n.d.")</f>
        <v>13.134758090405461</v>
      </c>
      <c r="E29" s="551">
        <f>IF(ISNUMBER('Mensual 2025'!E9),'Mensual 2025'!E9,"n.d.")</f>
        <v>13.746120813508711</v>
      </c>
      <c r="F29" s="551">
        <f>IF(ISNUMBER('Mensual 2025'!F9),'Mensual 2025'!F9,"n.d.")</f>
        <v>13.83516286351926</v>
      </c>
      <c r="G29" s="551">
        <f>IF(ISNUMBER('Mensual 2025'!G9),'Mensual 2025'!G9,"n.d.")</f>
        <v>10.315818406627162</v>
      </c>
      <c r="H29" s="551">
        <f>IF(ISNUMBER('Mensual 2025'!H9),'Mensual 2025'!H9,"n.d.")</f>
        <v>12.456794220386501</v>
      </c>
      <c r="I29" s="551">
        <f>IF(ISNUMBER('Mensual 2025'!I9),'Mensual 2025'!I9,"n.d.")</f>
        <v>15.658967247183952</v>
      </c>
      <c r="J29" s="551">
        <f>IF(ISNUMBER('Mensual 2025'!J9),'Mensual 2025'!J9,"n.d.")</f>
        <v>14.884425087032913</v>
      </c>
      <c r="K29" s="551">
        <f>IF(ISNUMBER('Mensual 2025'!K9),'Mensual 2025'!K9,"n.d.")</f>
        <v>14.505953958616502</v>
      </c>
      <c r="L29" s="551">
        <f>IF(ISNUMBER('Mensual 2025'!L9),'Mensual 2025'!L9,"n.d.")</f>
        <v>20.192843253397196</v>
      </c>
      <c r="M29" s="551">
        <f>IF(ISNUMBER('Mensual 2025'!M9),'Mensual 2025'!M9,"n.d.")</f>
        <v>14.782041681334361</v>
      </c>
      <c r="N29" s="551">
        <f>IF(ISNUMBER('Mensual 2025'!N9),'Mensual 2025'!N9,"n.d.")</f>
        <v>12.00377497255497</v>
      </c>
      <c r="O29" s="552">
        <f t="shared" si="15"/>
        <v>167.85985850768193</v>
      </c>
    </row>
    <row r="30" spans="1:15" ht="21.75" customHeight="1" x14ac:dyDescent="0.55000000000000004">
      <c r="A30" s="513" t="s">
        <v>21</v>
      </c>
      <c r="B30" s="513" t="s">
        <v>446</v>
      </c>
      <c r="C30" s="551">
        <f>IF(ISNUMBER('Mensual 2025'!C10),'Mensual 2025'!C10,"n.d.")</f>
        <v>64.67548673781333</v>
      </c>
      <c r="D30" s="551">
        <f>IF(ISNUMBER('Mensual 2025'!D10),'Mensual 2025'!D10,"n.d.")</f>
        <v>63.413538516823365</v>
      </c>
      <c r="E30" s="551">
        <f>IF(ISNUMBER('Mensual 2025'!E10),'Mensual 2025'!E10,"n.d.")</f>
        <v>51.497655222362617</v>
      </c>
      <c r="F30" s="551">
        <f>IF(ISNUMBER('Mensual 2025'!F10),'Mensual 2025'!F10,"n.d.")</f>
        <v>51.812839393153503</v>
      </c>
      <c r="G30" s="551">
        <f>IF(ISNUMBER('Mensual 2025'!G10),'Mensual 2025'!G10,"n.d.")</f>
        <v>60.562183750427707</v>
      </c>
      <c r="H30" s="551">
        <f>IF(ISNUMBER('Mensual 2025'!H10),'Mensual 2025'!H10,"n.d.")</f>
        <v>70.698767161910297</v>
      </c>
      <c r="I30" s="551">
        <f>IF(ISNUMBER('Mensual 2025'!I10),'Mensual 2025'!I10,"n.d.")</f>
        <v>86.894307691168578</v>
      </c>
      <c r="J30" s="551">
        <f>IF(ISNUMBER('Mensual 2025'!J10),'Mensual 2025'!J10,"n.d.")</f>
        <v>92.457227692794405</v>
      </c>
      <c r="K30" s="551">
        <f>IF(ISNUMBER('Mensual 2025'!K10),'Mensual 2025'!K10,"n.d.")</f>
        <v>95.138955078215275</v>
      </c>
      <c r="L30" s="551">
        <f>IF(ISNUMBER('Mensual 2025'!L10),'Mensual 2025'!L10,"n.d.")</f>
        <v>108.57447931684537</v>
      </c>
      <c r="M30" s="551">
        <f>IF(ISNUMBER('Mensual 2025'!M10),'Mensual 2025'!M10,"n.d.")</f>
        <v>95.687329127981329</v>
      </c>
      <c r="N30" s="551">
        <f>IF(ISNUMBER('Mensual 2025'!N10),'Mensual 2025'!N10,"n.d.")</f>
        <v>77.22802222631941</v>
      </c>
      <c r="O30" s="552">
        <f t="shared" si="15"/>
        <v>918.64079191581527</v>
      </c>
    </row>
    <row r="31" spans="1:15" ht="21.75" customHeight="1" x14ac:dyDescent="0.55000000000000004">
      <c r="A31" s="513" t="s">
        <v>42</v>
      </c>
      <c r="B31" s="513" t="s">
        <v>446</v>
      </c>
      <c r="C31" s="551">
        <f>IF(ISNUMBER('Mensual 2025'!C11),'Mensual 2025'!C11,"n.d.")</f>
        <v>19.512936113971552</v>
      </c>
      <c r="D31" s="551">
        <f>IF(ISNUMBER('Mensual 2025'!D11),'Mensual 2025'!D11,"n.d.")</f>
        <v>28.244266546489925</v>
      </c>
      <c r="E31" s="551">
        <f>IF(ISNUMBER('Mensual 2025'!E11),'Mensual 2025'!E11,"n.d.")</f>
        <v>21.22316562003649</v>
      </c>
      <c r="F31" s="551">
        <f>IF(ISNUMBER('Mensual 2025'!F11),'Mensual 2025'!F11,"n.d.")</f>
        <v>18.107929458196626</v>
      </c>
      <c r="G31" s="551">
        <f>IF(ISNUMBER('Mensual 2025'!G11),'Mensual 2025'!G11,"n.d.")</f>
        <v>31.65568046770921</v>
      </c>
      <c r="H31" s="551">
        <f>IF(ISNUMBER('Mensual 2025'!H11),'Mensual 2025'!H11,"n.d.")</f>
        <v>43.92545303349906</v>
      </c>
      <c r="I31" s="551">
        <f>IF(ISNUMBER('Mensual 2025'!I11),'Mensual 2025'!I11,"n.d.")</f>
        <v>32.349238459818849</v>
      </c>
      <c r="J31" s="551">
        <f>IF(ISNUMBER('Mensual 2025'!J11),'Mensual 2025'!J11,"n.d.")</f>
        <v>18.245221852383029</v>
      </c>
      <c r="K31" s="551">
        <f>IF(ISNUMBER('Mensual 2025'!K11),'Mensual 2025'!K11,"n.d.")</f>
        <v>13.74856602961099</v>
      </c>
      <c r="L31" s="551">
        <f>IF(ISNUMBER('Mensual 2025'!L11),'Mensual 2025'!L11,"n.d.")</f>
        <v>31.068527057478541</v>
      </c>
      <c r="M31" s="551">
        <f>IF(ISNUMBER('Mensual 2025'!M11),'Mensual 2025'!M11,"n.d.")</f>
        <v>24.012642118166521</v>
      </c>
      <c r="N31" s="551">
        <f>IF(ISNUMBER('Mensual 2025'!N11),'Mensual 2025'!N11,"n.d.")</f>
        <v>35.517014936077331</v>
      </c>
      <c r="O31" s="552">
        <f t="shared" si="15"/>
        <v>317.61064169343808</v>
      </c>
    </row>
    <row r="32" spans="1:15" ht="21.75" customHeight="1" x14ac:dyDescent="0.55000000000000004">
      <c r="A32" s="513" t="s">
        <v>23</v>
      </c>
      <c r="B32" s="513" t="s">
        <v>446</v>
      </c>
      <c r="C32" s="551">
        <f>IF(ISNUMBER('Mensual 2025'!C12),'Mensual 2025'!C12,"n.d.")</f>
        <v>2.7116493485085002E-2</v>
      </c>
      <c r="D32" s="551">
        <f>IF(ISNUMBER('Mensual 2025'!D12),'Mensual 2025'!D12,"n.d.")</f>
        <v>2.6616114339215007E-2</v>
      </c>
      <c r="E32" s="551">
        <f>IF(ISNUMBER('Mensual 2025'!E12),'Mensual 2025'!E12,"n.d.")</f>
        <v>2.7922349061386003E-2</v>
      </c>
      <c r="F32" s="551">
        <f>IF(ISNUMBER('Mensual 2025'!F12),'Mensual 2025'!F12,"n.d.")</f>
        <v>3.0565231328414998E-2</v>
      </c>
      <c r="G32" s="551">
        <f>IF(ISNUMBER('Mensual 2025'!G12),'Mensual 2025'!G12,"n.d.")</f>
        <v>2.2616209025319998E-2</v>
      </c>
      <c r="H32" s="551">
        <f>IF(ISNUMBER('Mensual 2025'!H12),'Mensual 2025'!H12,"n.d.")</f>
        <v>2.9973255982160003E-2</v>
      </c>
      <c r="I32" s="551">
        <f>IF(ISNUMBER('Mensual 2025'!I12),'Mensual 2025'!I12,"n.d.")</f>
        <v>3.4587582916315002E-2</v>
      </c>
      <c r="J32" s="551">
        <f>IF(ISNUMBER('Mensual 2025'!J12),'Mensual 2025'!J12,"n.d.")</f>
        <v>3.0125797870515E-2</v>
      </c>
      <c r="K32" s="551">
        <f>IF(ISNUMBER('Mensual 2025'!K12),'Mensual 2025'!K12,"n.d.")</f>
        <v>2.5474843838180005E-2</v>
      </c>
      <c r="L32" s="551">
        <f>IF(ISNUMBER('Mensual 2025'!L12),'Mensual 2025'!L12,"n.d.")</f>
        <v>4.09950161982E-2</v>
      </c>
      <c r="M32" s="551">
        <f>IF(ISNUMBER('Mensual 2025'!M12),'Mensual 2025'!M12,"n.d.")</f>
        <v>3.1425087056645006E-2</v>
      </c>
      <c r="N32" s="551">
        <f>IF(ISNUMBER('Mensual 2025'!N12),'Mensual 2025'!N12,"n.d.")</f>
        <v>2.8329080322505005E-2</v>
      </c>
      <c r="O32" s="552">
        <f t="shared" si="15"/>
        <v>0.35574706142394102</v>
      </c>
    </row>
    <row r="33" spans="1:23" ht="21.75" customHeight="1" x14ac:dyDescent="0.55000000000000004">
      <c r="A33" s="513" t="s">
        <v>438</v>
      </c>
      <c r="B33" s="513" t="s">
        <v>446</v>
      </c>
      <c r="C33" s="546">
        <f>IF(ISNUMBER('Mensual 2025'!C13),'Mensual 2025'!C13,"n.d.")</f>
        <v>610909.39159251843</v>
      </c>
      <c r="D33" s="546">
        <f>IF(ISNUMBER('Mensual 2025'!D13),'Mensual 2025'!D13,"n.d.")</f>
        <v>574977.56260886253</v>
      </c>
      <c r="E33" s="546">
        <f>IF(ISNUMBER('Mensual 2025'!E13),'Mensual 2025'!E13,"n.d.")</f>
        <v>493313.22917910904</v>
      </c>
      <c r="F33" s="546">
        <f>IF(ISNUMBER('Mensual 2025'!F13),'Mensual 2025'!F13,"n.d.")</f>
        <v>513957.17083869351</v>
      </c>
      <c r="G33" s="546">
        <f>IF(ISNUMBER('Mensual 2025'!G13),'Mensual 2025'!G13,"n.d.")</f>
        <v>597630.5008923714</v>
      </c>
      <c r="H33" s="546">
        <f>IF(ISNUMBER('Mensual 2025'!H13),'Mensual 2025'!H13,"n.d.")</f>
        <v>750393.81124787952</v>
      </c>
      <c r="I33" s="546">
        <f>IF(ISNUMBER('Mensual 2025'!I13),'Mensual 2025'!I13,"n.d.")</f>
        <v>782098.17731097154</v>
      </c>
      <c r="J33" s="546">
        <f>IF(ISNUMBER('Mensual 2025'!J13),'Mensual 2025'!J13,"n.d.")</f>
        <v>752623.08916093293</v>
      </c>
      <c r="K33" s="546">
        <f>IF(ISNUMBER('Mensual 2025'!K13),'Mensual 2025'!K13,"n.d.")</f>
        <v>713204.77655112464</v>
      </c>
      <c r="L33" s="546">
        <f>IF(ISNUMBER('Mensual 2025'!L13),'Mensual 2025'!L13,"n.d.")</f>
        <v>969864.94331582368</v>
      </c>
      <c r="M33" s="546">
        <f>IF(ISNUMBER('Mensual 2025'!M13),'Mensual 2025'!M13,"n.d.")</f>
        <v>772372.88113573985</v>
      </c>
      <c r="N33" s="546">
        <f>IF(ISNUMBER('Mensual 2025'!N13),'Mensual 2025'!N13,"n.d.")</f>
        <v>665871.88250705926</v>
      </c>
      <c r="O33" s="547">
        <f t="shared" si="15"/>
        <v>8197217.4163410868</v>
      </c>
    </row>
    <row r="34" spans="1:23" ht="21.75" customHeight="1" x14ac:dyDescent="0.55000000000000004">
      <c r="A34" s="513"/>
      <c r="B34" s="513"/>
      <c r="C34" s="548"/>
      <c r="D34" s="548"/>
      <c r="E34" s="548"/>
      <c r="F34" s="548"/>
      <c r="G34" s="548"/>
      <c r="H34" s="548"/>
      <c r="I34" s="548"/>
      <c r="J34" s="548"/>
      <c r="K34" s="548"/>
      <c r="L34" s="548"/>
      <c r="M34" s="548"/>
      <c r="N34" s="548"/>
      <c r="O34" s="548"/>
    </row>
    <row r="35" spans="1:23" ht="31.5" customHeight="1" x14ac:dyDescent="0.55000000000000004">
      <c r="A35" s="610" t="s">
        <v>447</v>
      </c>
      <c r="B35" s="610"/>
      <c r="C35" s="545"/>
      <c r="D35" s="545"/>
      <c r="E35" s="545"/>
      <c r="F35" s="545"/>
      <c r="G35" s="545"/>
      <c r="H35" s="545"/>
      <c r="I35" s="545"/>
      <c r="J35" s="545"/>
      <c r="K35" s="545"/>
      <c r="L35" s="545"/>
      <c r="M35" s="545"/>
      <c r="N35" s="545"/>
      <c r="O35" s="545"/>
    </row>
    <row r="36" spans="1:23" ht="37.5" customHeight="1" x14ac:dyDescent="0.55000000000000004">
      <c r="A36" s="539" t="s">
        <v>375</v>
      </c>
      <c r="B36" s="539" t="s">
        <v>376</v>
      </c>
      <c r="C36" s="539" t="s">
        <v>427</v>
      </c>
      <c r="D36" s="539" t="s">
        <v>428</v>
      </c>
      <c r="E36" s="539" t="s">
        <v>429</v>
      </c>
      <c r="F36" s="539" t="s">
        <v>430</v>
      </c>
      <c r="G36" s="539" t="s">
        <v>5</v>
      </c>
      <c r="H36" s="539" t="s">
        <v>431</v>
      </c>
      <c r="I36" s="539" t="s">
        <v>432</v>
      </c>
      <c r="J36" s="539" t="s">
        <v>433</v>
      </c>
      <c r="K36" s="539" t="s">
        <v>434</v>
      </c>
      <c r="L36" s="539" t="s">
        <v>435</v>
      </c>
      <c r="M36" s="539" t="s">
        <v>436</v>
      </c>
      <c r="N36" s="539" t="s">
        <v>437</v>
      </c>
      <c r="O36" s="539" t="s">
        <v>26</v>
      </c>
    </row>
    <row r="37" spans="1:23" ht="21.75" customHeight="1" x14ac:dyDescent="0.55000000000000004">
      <c r="A37" s="513" t="s">
        <v>17</v>
      </c>
      <c r="B37" s="513" t="s">
        <v>446</v>
      </c>
      <c r="C37" s="551">
        <f t="shared" ref="C37:N37" si="16">IF(ISNUMBER(C24),C24,"n.d.")</f>
        <v>58.512137772049357</v>
      </c>
      <c r="D37" s="551">
        <f t="shared" si="16"/>
        <v>65.181272509503557</v>
      </c>
      <c r="E37" s="551">
        <f t="shared" si="16"/>
        <v>36.902753577692124</v>
      </c>
      <c r="F37" s="551">
        <f t="shared" si="16"/>
        <v>34.790538643523156</v>
      </c>
      <c r="G37" s="551">
        <f t="shared" si="16"/>
        <v>48.652294765823761</v>
      </c>
      <c r="H37" s="551">
        <f t="shared" si="16"/>
        <v>80.839133099431081</v>
      </c>
      <c r="I37" s="551">
        <f t="shared" si="16"/>
        <v>96.760011918911104</v>
      </c>
      <c r="J37" s="551">
        <f t="shared" si="16"/>
        <v>80.134022208657072</v>
      </c>
      <c r="K37" s="551">
        <f t="shared" si="16"/>
        <v>83.675776119561789</v>
      </c>
      <c r="L37" s="551">
        <f t="shared" si="16"/>
        <v>104.5089754622928</v>
      </c>
      <c r="M37" s="551">
        <f t="shared" si="16"/>
        <v>89.037713514011756</v>
      </c>
      <c r="N37" s="551">
        <f t="shared" si="16"/>
        <v>75.82195901650222</v>
      </c>
      <c r="O37" s="552">
        <f t="shared" ref="O37:O46" si="17">IF(COUNT(C37:N37)=12,SUM(C37:N37),"n.d.")</f>
        <v>854.81658860795983</v>
      </c>
    </row>
    <row r="38" spans="1:23" ht="21.75" customHeight="1" x14ac:dyDescent="0.55000000000000004">
      <c r="A38" s="513" t="s">
        <v>18</v>
      </c>
      <c r="B38" s="513" t="s">
        <v>446</v>
      </c>
      <c r="C38" s="551">
        <f t="shared" ref="C38:N38" si="18">IF(ISNUMBER(C25),C25,"n.d.")</f>
        <v>87.262276951275354</v>
      </c>
      <c r="D38" s="551">
        <f t="shared" si="18"/>
        <v>93.427430393911564</v>
      </c>
      <c r="E38" s="551">
        <f t="shared" si="18"/>
        <v>90.026196991890117</v>
      </c>
      <c r="F38" s="551">
        <f t="shared" si="18"/>
        <v>84.51952526774916</v>
      </c>
      <c r="G38" s="551">
        <f t="shared" si="18"/>
        <v>97.030327370309763</v>
      </c>
      <c r="H38" s="551">
        <f t="shared" si="18"/>
        <v>109.60150763106911</v>
      </c>
      <c r="I38" s="551">
        <f t="shared" si="18"/>
        <v>98.339627008319098</v>
      </c>
      <c r="J38" s="551">
        <f t="shared" si="18"/>
        <v>76.638487733940067</v>
      </c>
      <c r="K38" s="551">
        <f t="shared" si="18"/>
        <v>65.4665560620018</v>
      </c>
      <c r="L38" s="551">
        <f t="shared" si="18"/>
        <v>125.97275508090478</v>
      </c>
      <c r="M38" s="551">
        <f t="shared" si="18"/>
        <v>84.149549028191757</v>
      </c>
      <c r="N38" s="551">
        <f t="shared" si="18"/>
        <v>105.04342447823521</v>
      </c>
      <c r="O38" s="552">
        <f t="shared" si="17"/>
        <v>1117.4776639977979</v>
      </c>
    </row>
    <row r="39" spans="1:23" ht="21.75" customHeight="1" x14ac:dyDescent="0.55000000000000004">
      <c r="A39" s="513" t="s">
        <v>40</v>
      </c>
      <c r="B39" s="513" t="s">
        <v>446</v>
      </c>
      <c r="C39" s="551">
        <f t="shared" ref="C39:N39" si="19">IF(ISNUMBER(C26),C26,"n.d.")</f>
        <v>37.190197741155359</v>
      </c>
      <c r="D39" s="551">
        <f t="shared" si="19"/>
        <v>39.105553779811558</v>
      </c>
      <c r="E39" s="551">
        <f t="shared" si="19"/>
        <v>31.159001675862122</v>
      </c>
      <c r="F39" s="551">
        <f t="shared" si="19"/>
        <v>28.127481180725162</v>
      </c>
      <c r="G39" s="551">
        <f t="shared" si="19"/>
        <v>43.926497354129758</v>
      </c>
      <c r="H39" s="551">
        <f t="shared" si="19"/>
        <v>61.960821564916081</v>
      </c>
      <c r="I39" s="551">
        <f t="shared" si="19"/>
        <v>50.2243718912991</v>
      </c>
      <c r="J39" s="551">
        <f t="shared" si="19"/>
        <v>30.552944868840058</v>
      </c>
      <c r="K39" s="551">
        <f t="shared" si="19"/>
        <v>29.2205343994518</v>
      </c>
      <c r="L39" s="551">
        <f t="shared" si="19"/>
        <v>58.216669787584799</v>
      </c>
      <c r="M39" s="551">
        <f t="shared" si="19"/>
        <v>37.859379085301761</v>
      </c>
      <c r="N39" s="551">
        <f t="shared" si="19"/>
        <v>45.453890446535219</v>
      </c>
      <c r="O39" s="552">
        <f t="shared" si="17"/>
        <v>492.99734377561288</v>
      </c>
    </row>
    <row r="40" spans="1:23" ht="21.75" customHeight="1" x14ac:dyDescent="0.55000000000000004">
      <c r="A40" s="513" t="s">
        <v>377</v>
      </c>
      <c r="B40" s="513" t="s">
        <v>446</v>
      </c>
      <c r="C40" s="551">
        <f t="shared" ref="C40:N40" si="20">IF(ISNUMBER(C27),C27,"n.d.")</f>
        <v>894.37630747517096</v>
      </c>
      <c r="D40" s="551">
        <f t="shared" si="20"/>
        <v>1007.3207569154666</v>
      </c>
      <c r="E40" s="551">
        <f t="shared" si="20"/>
        <v>595.67488217008861</v>
      </c>
      <c r="F40" s="551">
        <f t="shared" si="20"/>
        <v>519.05984307425967</v>
      </c>
      <c r="G40" s="551">
        <f t="shared" si="20"/>
        <v>877.10040058678578</v>
      </c>
      <c r="H40" s="551">
        <f t="shared" si="20"/>
        <v>1172.6978970385996</v>
      </c>
      <c r="I40" s="551">
        <f t="shared" si="20"/>
        <v>1226.2749829114823</v>
      </c>
      <c r="J40" s="551">
        <f t="shared" si="20"/>
        <v>907.38245571334994</v>
      </c>
      <c r="K40" s="551">
        <f t="shared" si="20"/>
        <v>864.97644751193775</v>
      </c>
      <c r="L40" s="551">
        <f t="shared" si="20"/>
        <v>1348.2079802792118</v>
      </c>
      <c r="M40" s="551">
        <f t="shared" si="20"/>
        <v>1076.5338037303379</v>
      </c>
      <c r="N40" s="551">
        <f t="shared" si="20"/>
        <v>1290.2509947974345</v>
      </c>
      <c r="O40" s="552">
        <f t="shared" si="17"/>
        <v>11779.856752204125</v>
      </c>
    </row>
    <row r="41" spans="1:23" ht="21.75" customHeight="1" x14ac:dyDescent="0.55000000000000004">
      <c r="A41" s="513" t="s">
        <v>20</v>
      </c>
      <c r="B41" s="513" t="s">
        <v>446</v>
      </c>
      <c r="C41" s="551">
        <f t="shared" ref="C41:N41" si="21">IF(ISNUMBER(C28),C28,"n.d.")</f>
        <v>1382.0856596981077</v>
      </c>
      <c r="D41" s="551">
        <f t="shared" si="21"/>
        <v>1241.4344456965021</v>
      </c>
      <c r="E41" s="551">
        <f t="shared" si="21"/>
        <v>1085.8504544865639</v>
      </c>
      <c r="F41" s="551">
        <f t="shared" si="21"/>
        <v>1222.1755428779434</v>
      </c>
      <c r="G41" s="551">
        <f t="shared" si="21"/>
        <v>1411.3885195981645</v>
      </c>
      <c r="H41" s="551">
        <f t="shared" si="21"/>
        <v>1752.2067541799829</v>
      </c>
      <c r="I41" s="551">
        <f t="shared" si="21"/>
        <v>1834.3981817401802</v>
      </c>
      <c r="J41" s="551">
        <f t="shared" si="21"/>
        <v>1866.2606313875381</v>
      </c>
      <c r="K41" s="551">
        <f t="shared" si="21"/>
        <v>1666.0673059720075</v>
      </c>
      <c r="L41" s="551">
        <f t="shared" si="21"/>
        <v>2317.2207227153008</v>
      </c>
      <c r="M41" s="551">
        <f t="shared" si="21"/>
        <v>1861.9435444570674</v>
      </c>
      <c r="N41" s="551">
        <f t="shared" si="21"/>
        <v>1517.6274590696219</v>
      </c>
      <c r="O41" s="552">
        <f t="shared" si="17"/>
        <v>19158.659221878981</v>
      </c>
    </row>
    <row r="42" spans="1:23" ht="21.75" customHeight="1" x14ac:dyDescent="0.55000000000000004">
      <c r="A42" s="513" t="s">
        <v>22</v>
      </c>
      <c r="B42" s="513" t="s">
        <v>446</v>
      </c>
      <c r="C42" s="551">
        <f t="shared" ref="C42:N42" si="22">IF(ISNUMBER(C29),C29,"n.d.")</f>
        <v>12.343197913114963</v>
      </c>
      <c r="D42" s="551">
        <f t="shared" si="22"/>
        <v>13.134758090405461</v>
      </c>
      <c r="E42" s="551">
        <f t="shared" si="22"/>
        <v>13.746120813508711</v>
      </c>
      <c r="F42" s="551">
        <f t="shared" si="22"/>
        <v>13.83516286351926</v>
      </c>
      <c r="G42" s="551">
        <f t="shared" si="22"/>
        <v>10.315818406627162</v>
      </c>
      <c r="H42" s="551">
        <f t="shared" si="22"/>
        <v>12.456794220386501</v>
      </c>
      <c r="I42" s="551">
        <f t="shared" si="22"/>
        <v>15.658967247183952</v>
      </c>
      <c r="J42" s="551">
        <f t="shared" si="22"/>
        <v>14.884425087032913</v>
      </c>
      <c r="K42" s="551">
        <f t="shared" si="22"/>
        <v>14.505953958616502</v>
      </c>
      <c r="L42" s="551">
        <f t="shared" si="22"/>
        <v>20.192843253397196</v>
      </c>
      <c r="M42" s="551">
        <f t="shared" si="22"/>
        <v>14.782041681334361</v>
      </c>
      <c r="N42" s="551">
        <f t="shared" si="22"/>
        <v>12.00377497255497</v>
      </c>
      <c r="O42" s="552">
        <f t="shared" si="17"/>
        <v>167.85985850768193</v>
      </c>
    </row>
    <row r="43" spans="1:23" ht="21.75" customHeight="1" x14ac:dyDescent="0.55000000000000004">
      <c r="A43" s="513" t="s">
        <v>21</v>
      </c>
      <c r="B43" s="513" t="s">
        <v>446</v>
      </c>
      <c r="C43" s="551">
        <f t="shared" ref="C43:N43" si="23">IF(ISNUMBER(C30),C30,"n.d.")</f>
        <v>64.67548673781333</v>
      </c>
      <c r="D43" s="551">
        <f t="shared" si="23"/>
        <v>63.413538516823365</v>
      </c>
      <c r="E43" s="551">
        <f t="shared" si="23"/>
        <v>51.497655222362617</v>
      </c>
      <c r="F43" s="551">
        <f t="shared" si="23"/>
        <v>51.812839393153503</v>
      </c>
      <c r="G43" s="551">
        <f t="shared" si="23"/>
        <v>60.562183750427707</v>
      </c>
      <c r="H43" s="551">
        <f t="shared" si="23"/>
        <v>70.698767161910297</v>
      </c>
      <c r="I43" s="551">
        <f t="shared" si="23"/>
        <v>86.894307691168578</v>
      </c>
      <c r="J43" s="551">
        <f t="shared" si="23"/>
        <v>92.457227692794405</v>
      </c>
      <c r="K43" s="551">
        <f t="shared" si="23"/>
        <v>95.138955078215275</v>
      </c>
      <c r="L43" s="551">
        <f t="shared" si="23"/>
        <v>108.57447931684537</v>
      </c>
      <c r="M43" s="551">
        <f t="shared" si="23"/>
        <v>95.687329127981329</v>
      </c>
      <c r="N43" s="551">
        <f t="shared" si="23"/>
        <v>77.22802222631941</v>
      </c>
      <c r="O43" s="552">
        <f t="shared" si="17"/>
        <v>918.64079191581527</v>
      </c>
    </row>
    <row r="44" spans="1:23" ht="21.75" customHeight="1" x14ac:dyDescent="0.55000000000000004">
      <c r="A44" s="513" t="s">
        <v>42</v>
      </c>
      <c r="B44" s="513" t="s">
        <v>446</v>
      </c>
      <c r="C44" s="551">
        <f t="shared" ref="C44:N44" si="24">IF(ISNUMBER(C31),C31,"n.d.")</f>
        <v>19.512936113971552</v>
      </c>
      <c r="D44" s="551">
        <f t="shared" si="24"/>
        <v>28.244266546489925</v>
      </c>
      <c r="E44" s="551">
        <f t="shared" si="24"/>
        <v>21.22316562003649</v>
      </c>
      <c r="F44" s="551">
        <f t="shared" si="24"/>
        <v>18.107929458196626</v>
      </c>
      <c r="G44" s="551">
        <f t="shared" si="24"/>
        <v>31.65568046770921</v>
      </c>
      <c r="H44" s="551">
        <f t="shared" si="24"/>
        <v>43.92545303349906</v>
      </c>
      <c r="I44" s="551">
        <f t="shared" si="24"/>
        <v>32.349238459818849</v>
      </c>
      <c r="J44" s="551">
        <f t="shared" si="24"/>
        <v>18.245221852383029</v>
      </c>
      <c r="K44" s="551">
        <f t="shared" si="24"/>
        <v>13.74856602961099</v>
      </c>
      <c r="L44" s="551">
        <f t="shared" si="24"/>
        <v>31.068527057478541</v>
      </c>
      <c r="M44" s="551">
        <f t="shared" si="24"/>
        <v>24.012642118166521</v>
      </c>
      <c r="N44" s="551">
        <f t="shared" si="24"/>
        <v>35.517014936077331</v>
      </c>
      <c r="O44" s="552">
        <f t="shared" si="17"/>
        <v>317.61064169343808</v>
      </c>
    </row>
    <row r="45" spans="1:23" ht="21.75" customHeight="1" x14ac:dyDescent="0.55000000000000004">
      <c r="A45" s="513" t="s">
        <v>23</v>
      </c>
      <c r="B45" s="513" t="s">
        <v>446</v>
      </c>
      <c r="C45" s="551">
        <f t="shared" ref="C45:N45" si="25">IF(ISNUMBER(C32),C32,"n.d.")</f>
        <v>2.7116493485085002E-2</v>
      </c>
      <c r="D45" s="551">
        <f t="shared" si="25"/>
        <v>2.6616114339215007E-2</v>
      </c>
      <c r="E45" s="551">
        <f t="shared" si="25"/>
        <v>2.7922349061386003E-2</v>
      </c>
      <c r="F45" s="551">
        <f t="shared" si="25"/>
        <v>3.0565231328414998E-2</v>
      </c>
      <c r="G45" s="551">
        <f t="shared" si="25"/>
        <v>2.2616209025319998E-2</v>
      </c>
      <c r="H45" s="551">
        <f t="shared" si="25"/>
        <v>2.9973255982160003E-2</v>
      </c>
      <c r="I45" s="551">
        <f t="shared" si="25"/>
        <v>3.4587582916315002E-2</v>
      </c>
      <c r="J45" s="551">
        <f t="shared" si="25"/>
        <v>3.0125797870515E-2</v>
      </c>
      <c r="K45" s="551">
        <f t="shared" si="25"/>
        <v>2.5474843838180005E-2</v>
      </c>
      <c r="L45" s="551">
        <f t="shared" si="25"/>
        <v>4.09950161982E-2</v>
      </c>
      <c r="M45" s="551">
        <f t="shared" si="25"/>
        <v>3.1425087056645006E-2</v>
      </c>
      <c r="N45" s="551">
        <f t="shared" si="25"/>
        <v>2.8329080322505005E-2</v>
      </c>
      <c r="O45" s="552">
        <f t="shared" si="17"/>
        <v>0.35574706142394102</v>
      </c>
    </row>
    <row r="46" spans="1:23" ht="21.75" customHeight="1" x14ac:dyDescent="0.55000000000000004">
      <c r="A46" s="513" t="s">
        <v>438</v>
      </c>
      <c r="B46" s="513" t="s">
        <v>446</v>
      </c>
      <c r="C46" s="546">
        <f t="shared" ref="C46:N46" si="26">IF(ISNUMBER(C33),C33,"n.d.")</f>
        <v>610909.39159251843</v>
      </c>
      <c r="D46" s="546">
        <f t="shared" si="26"/>
        <v>574977.56260886253</v>
      </c>
      <c r="E46" s="546">
        <f t="shared" si="26"/>
        <v>493313.22917910904</v>
      </c>
      <c r="F46" s="546">
        <f t="shared" si="26"/>
        <v>513957.17083869351</v>
      </c>
      <c r="G46" s="546">
        <f t="shared" si="26"/>
        <v>597630.5008923714</v>
      </c>
      <c r="H46" s="546">
        <f t="shared" si="26"/>
        <v>750393.81124787952</v>
      </c>
      <c r="I46" s="546">
        <f t="shared" si="26"/>
        <v>782098.17731097154</v>
      </c>
      <c r="J46" s="546">
        <f t="shared" si="26"/>
        <v>752623.08916093293</v>
      </c>
      <c r="K46" s="546">
        <f t="shared" si="26"/>
        <v>713204.77655112464</v>
      </c>
      <c r="L46" s="546">
        <f t="shared" si="26"/>
        <v>969864.94331582368</v>
      </c>
      <c r="M46" s="546">
        <f t="shared" si="26"/>
        <v>772372.88113573985</v>
      </c>
      <c r="N46" s="546">
        <f t="shared" si="26"/>
        <v>665871.88250705926</v>
      </c>
      <c r="O46" s="547">
        <f t="shared" si="17"/>
        <v>8197217.4163410868</v>
      </c>
    </row>
    <row r="47" spans="1:23" ht="21.75" customHeight="1" x14ac:dyDescent="0.55000000000000004">
      <c r="A47" s="513"/>
      <c r="B47" s="513"/>
      <c r="C47" s="548"/>
      <c r="D47" s="548"/>
      <c r="E47" s="548"/>
      <c r="F47" s="548"/>
      <c r="G47" s="548"/>
      <c r="H47" s="548"/>
      <c r="I47" s="548"/>
      <c r="J47" s="548"/>
      <c r="K47" s="548"/>
      <c r="L47" s="548"/>
      <c r="M47" s="548"/>
      <c r="N47" s="548"/>
      <c r="O47" s="548"/>
    </row>
    <row r="48" spans="1:23" ht="31.5" customHeight="1" x14ac:dyDescent="0.55000000000000004">
      <c r="A48" s="539" t="s">
        <v>448</v>
      </c>
      <c r="B48" s="539"/>
      <c r="C48" s="539"/>
      <c r="D48" s="539"/>
      <c r="E48" s="539"/>
      <c r="F48" s="539"/>
      <c r="G48" s="539"/>
      <c r="H48" s="539"/>
      <c r="I48" s="539"/>
      <c r="J48" s="539"/>
      <c r="K48" s="539"/>
      <c r="L48" s="539"/>
      <c r="M48" s="539"/>
      <c r="N48" s="539"/>
      <c r="O48" s="539"/>
      <c r="P48" s="539"/>
      <c r="Q48" s="539"/>
      <c r="R48" s="539"/>
      <c r="S48" s="539"/>
      <c r="T48" s="539"/>
      <c r="U48" s="539"/>
      <c r="V48" s="539"/>
      <c r="W48" s="539"/>
    </row>
    <row r="49" spans="1:15" ht="21.75" customHeight="1" x14ac:dyDescent="0.55000000000000004">
      <c r="A49" s="513" t="s">
        <v>17</v>
      </c>
      <c r="B49" s="513" t="s">
        <v>55</v>
      </c>
      <c r="C49" s="553">
        <v>0</v>
      </c>
      <c r="D49" s="553">
        <v>0</v>
      </c>
      <c r="E49" s="553">
        <v>0</v>
      </c>
      <c r="F49" s="553">
        <v>0</v>
      </c>
      <c r="G49" s="553">
        <v>0</v>
      </c>
      <c r="H49" s="553">
        <v>0</v>
      </c>
      <c r="I49" s="553">
        <v>0</v>
      </c>
      <c r="J49" s="553">
        <v>0</v>
      </c>
      <c r="K49" s="553">
        <v>0</v>
      </c>
      <c r="L49" s="553">
        <v>0</v>
      </c>
      <c r="M49" s="553">
        <v>0</v>
      </c>
      <c r="N49" s="553">
        <v>0</v>
      </c>
      <c r="O49" s="548"/>
    </row>
    <row r="50" spans="1:15" ht="21.75" customHeight="1" x14ac:dyDescent="0.55000000000000004">
      <c r="A50" s="513" t="s">
        <v>18</v>
      </c>
      <c r="B50" s="513" t="s">
        <v>55</v>
      </c>
      <c r="C50" s="553">
        <f>IF(ISNUMBER('MPs PS'!R44),'MPs PS'!R44,"n.d.")</f>
        <v>0.01</v>
      </c>
      <c r="D50" s="553">
        <f>IF(ISNUMBER('MPs PS'!R44),'MPs PS'!R44,"n.d.")</f>
        <v>0.01</v>
      </c>
      <c r="E50" s="553">
        <f>IF(ISNUMBER('MPs PS'!R44),'MPs PS'!R44,"n.d.")</f>
        <v>0.01</v>
      </c>
      <c r="F50" s="553">
        <f>IF(ISNUMBER('MPs PS'!R44),'MPs PS'!R44,"n.d.")</f>
        <v>0.01</v>
      </c>
      <c r="G50" s="553">
        <f>IF(ISNUMBER('MPs PS'!R44),'MPs PS'!R44,"n.d.")</f>
        <v>0.01</v>
      </c>
      <c r="H50" s="553">
        <f>IF(ISNUMBER('MPs PS'!R44),'MPs PS'!R44,"n.d.")</f>
        <v>0.01</v>
      </c>
      <c r="I50" s="553">
        <f>IF(ISNUMBER('MPs PS'!R44),'MPs PS'!R44,"n.d.")</f>
        <v>0.01</v>
      </c>
      <c r="J50" s="553">
        <f>IF(ISNUMBER('MPs PS'!R44),'MPs PS'!R44,"n.d.")</f>
        <v>0.01</v>
      </c>
      <c r="K50" s="553">
        <f>IF(ISNUMBER('MPs PS'!R44),'MPs PS'!R44,"n.d.")</f>
        <v>0.01</v>
      </c>
      <c r="L50" s="553">
        <f>IF(ISNUMBER('MPs PS'!R44),'MPs PS'!R44,"n.d.")</f>
        <v>0.01</v>
      </c>
      <c r="M50" s="553">
        <f>IF(ISNUMBER('MPs PS'!R44),'MPs PS'!R44,"n.d.")</f>
        <v>0.01</v>
      </c>
      <c r="N50" s="553">
        <f>IF(ISNUMBER('MPs PS'!R44),'MPs PS'!R44,"n.d.")</f>
        <v>0.01</v>
      </c>
      <c r="O50" s="548"/>
    </row>
    <row r="51" spans="1:15" ht="21.75" customHeight="1" x14ac:dyDescent="0.55000000000000004">
      <c r="A51" s="513" t="s">
        <v>40</v>
      </c>
      <c r="B51" s="513" t="s">
        <v>55</v>
      </c>
      <c r="C51" s="553">
        <f>IF(ISNUMBER('MPs PS'!R50),'MPs PS'!R50,"n.d.")</f>
        <v>0.01</v>
      </c>
      <c r="D51" s="553">
        <f>IF(ISNUMBER('MPs PS'!R50),'MPs PS'!R50,"n.d.")</f>
        <v>0.01</v>
      </c>
      <c r="E51" s="553">
        <f>IF(ISNUMBER('MPs PS'!R50),'MPs PS'!R50,"n.d.")</f>
        <v>0.01</v>
      </c>
      <c r="F51" s="553">
        <f>IF(ISNUMBER('MPs PS'!R50),'MPs PS'!R50,"n.d.")</f>
        <v>0.01</v>
      </c>
      <c r="G51" s="553">
        <f>IF(ISNUMBER('MPs PS'!R50),'MPs PS'!R50,"n.d.")</f>
        <v>0.01</v>
      </c>
      <c r="H51" s="553">
        <f>IF(ISNUMBER('MPs PS'!R50),'MPs PS'!R50,"n.d.")</f>
        <v>0.01</v>
      </c>
      <c r="I51" s="553">
        <f>IF(ISNUMBER('MPs PS'!R50),'MPs PS'!R50,"n.d.")</f>
        <v>0.01</v>
      </c>
      <c r="J51" s="553">
        <f>IF(ISNUMBER('MPs PS'!R50),'MPs PS'!R50,"n.d.")</f>
        <v>0.01</v>
      </c>
      <c r="K51" s="553">
        <f>IF(ISNUMBER('MPs PS'!R50),'MPs PS'!R50,"n.d.")</f>
        <v>0.01</v>
      </c>
      <c r="L51" s="553">
        <f>IF(ISNUMBER('MPs PS'!R50),'MPs PS'!R50,"n.d.")</f>
        <v>0.01</v>
      </c>
      <c r="M51" s="553">
        <f>IF(ISNUMBER('MPs PS'!R50),'MPs PS'!R50,"n.d.")</f>
        <v>0.01</v>
      </c>
      <c r="N51" s="553">
        <f>IF(ISNUMBER('MPs PS'!R50),'MPs PS'!R50,"n.d.")</f>
        <v>0.01</v>
      </c>
      <c r="O51" s="548"/>
    </row>
    <row r="52" spans="1:15" ht="21.75" customHeight="1" x14ac:dyDescent="0.55000000000000004">
      <c r="A52" s="513" t="s">
        <v>377</v>
      </c>
      <c r="B52" s="513" t="s">
        <v>55</v>
      </c>
      <c r="C52" s="553">
        <f>IF(ISNUMBER('MPs PS'!R56),'MPs PS'!R56,"n.d.")</f>
        <v>2.7847396268448903E-3</v>
      </c>
      <c r="D52" s="553">
        <f>IF(ISNUMBER('MPs PS'!R56),'MPs PS'!R56,"n.d.")</f>
        <v>2.7847396268448903E-3</v>
      </c>
      <c r="E52" s="553">
        <f>IF(ISNUMBER('MPs PS'!R56),'MPs PS'!R56,"n.d.")</f>
        <v>2.7847396268448903E-3</v>
      </c>
      <c r="F52" s="553">
        <f>IF(ISNUMBER('MPs PS'!R56),'MPs PS'!R56,"n.d.")</f>
        <v>2.7847396268448903E-3</v>
      </c>
      <c r="G52" s="553">
        <f>IF(ISNUMBER('MPs PS'!R56),'MPs PS'!R56,"n.d.")</f>
        <v>2.7847396268448903E-3</v>
      </c>
      <c r="H52" s="553">
        <f>IF(ISNUMBER('MPs PS'!R56),'MPs PS'!R56,"n.d.")</f>
        <v>2.7847396268448903E-3</v>
      </c>
      <c r="I52" s="553">
        <f>IF(ISNUMBER('MPs PS'!R56),'MPs PS'!R56,"n.d.")</f>
        <v>2.7847396268448903E-3</v>
      </c>
      <c r="J52" s="553">
        <f>IF(ISNUMBER('MPs PS'!R56),'MPs PS'!R56,"n.d.")</f>
        <v>2.7847396268448903E-3</v>
      </c>
      <c r="K52" s="553">
        <f>IF(ISNUMBER('MPs PS'!R56),'MPs PS'!R56,"n.d.")</f>
        <v>2.7847396268448903E-3</v>
      </c>
      <c r="L52" s="553">
        <f>IF(ISNUMBER('MPs PS'!R56),'MPs PS'!R56,"n.d.")</f>
        <v>2.7847396268448903E-3</v>
      </c>
      <c r="M52" s="553">
        <f>IF(ISNUMBER('MPs PS'!R56),'MPs PS'!R56,"n.d.")</f>
        <v>2.7847396268448903E-3</v>
      </c>
      <c r="N52" s="553">
        <f>IF(ISNUMBER('MPs PS'!R56),'MPs PS'!R56,"n.d.")</f>
        <v>2.7847396268448903E-3</v>
      </c>
      <c r="O52" s="548"/>
    </row>
    <row r="53" spans="1:15" ht="21.75" customHeight="1" x14ac:dyDescent="0.55000000000000004">
      <c r="A53" s="513" t="s">
        <v>20</v>
      </c>
      <c r="B53" s="513" t="s">
        <v>55</v>
      </c>
      <c r="C53" s="553">
        <f>IF(ISNUMBER('MPs PS'!R20),'MPs PS'!R20,"n.d.")</f>
        <v>0.11</v>
      </c>
      <c r="D53" s="553">
        <f>IF(ISNUMBER('MPs PS'!R20),'MPs PS'!R20,"n.d.")</f>
        <v>0.11</v>
      </c>
      <c r="E53" s="553">
        <f>IF(ISNUMBER('MPs PS'!R20),'MPs PS'!R20,"n.d.")</f>
        <v>0.11</v>
      </c>
      <c r="F53" s="553">
        <f>IF(ISNUMBER('MPs PS'!R20),'MPs PS'!R20,"n.d.")</f>
        <v>0.11</v>
      </c>
      <c r="G53" s="553">
        <f>IF(ISNUMBER('MPs PS'!R20),'MPs PS'!R20,"n.d.")</f>
        <v>0.11</v>
      </c>
      <c r="H53" s="553">
        <f>IF(ISNUMBER('MPs PS'!R20),'MPs PS'!R20,"n.d.")</f>
        <v>0.11</v>
      </c>
      <c r="I53" s="553">
        <f>IF(ISNUMBER('MPs PS'!R20),'MPs PS'!R20,"n.d.")</f>
        <v>0.11</v>
      </c>
      <c r="J53" s="553">
        <f>IF(ISNUMBER('MPs PS'!R20),'MPs PS'!R20,"n.d.")</f>
        <v>0.11</v>
      </c>
      <c r="K53" s="553">
        <f>IF(ISNUMBER('MPs PS'!R20),'MPs PS'!R20,"n.d.")</f>
        <v>0.11</v>
      </c>
      <c r="L53" s="553">
        <f>IF(ISNUMBER('MPs PS'!R20),'MPs PS'!R20,"n.d.")</f>
        <v>0.11</v>
      </c>
      <c r="M53" s="553">
        <f>IF(ISNUMBER('MPs PS'!R20),'MPs PS'!R20,"n.d.")</f>
        <v>0.11</v>
      </c>
      <c r="N53" s="553">
        <f>IF(ISNUMBER('MPs PS'!R20),'MPs PS'!R20,"n.d.")</f>
        <v>0.11</v>
      </c>
      <c r="O53" s="548"/>
    </row>
    <row r="54" spans="1:15" ht="21.75" customHeight="1" x14ac:dyDescent="0.55000000000000004">
      <c r="A54" s="513" t="s">
        <v>22</v>
      </c>
      <c r="B54" s="513" t="s">
        <v>55</v>
      </c>
      <c r="C54" s="553">
        <f>IF(ISNUMBER('MPs PS'!R32),'MPs PS'!R32,"n.d.")</f>
        <v>8.0999999999999996E-3</v>
      </c>
      <c r="D54" s="553">
        <f>IF(ISNUMBER('MPs PS'!R32),'MPs PS'!R32,"n.d.")</f>
        <v>8.0999999999999996E-3</v>
      </c>
      <c r="E54" s="553">
        <f>IF(ISNUMBER('MPs PS'!R32),'MPs PS'!R32,"n.d.")</f>
        <v>8.0999999999999996E-3</v>
      </c>
      <c r="F54" s="553">
        <f>IF(ISNUMBER('MPs PS'!R32),'MPs PS'!R32,"n.d.")</f>
        <v>8.0999999999999996E-3</v>
      </c>
      <c r="G54" s="553">
        <f>IF(ISNUMBER('MPs PS'!R32),'MPs PS'!R32,"n.d.")</f>
        <v>8.0999999999999996E-3</v>
      </c>
      <c r="H54" s="553">
        <f>IF(ISNUMBER('MPs PS'!R32),'MPs PS'!R32,"n.d.")</f>
        <v>8.0999999999999996E-3</v>
      </c>
      <c r="I54" s="553">
        <f>IF(ISNUMBER('MPs PS'!R32),'MPs PS'!R32,"n.d.")</f>
        <v>8.0999999999999996E-3</v>
      </c>
      <c r="J54" s="553">
        <f>IF(ISNUMBER('MPs PS'!R32),'MPs PS'!R32,"n.d.")</f>
        <v>8.0999999999999996E-3</v>
      </c>
      <c r="K54" s="553">
        <f>IF(ISNUMBER('MPs PS'!R32),'MPs PS'!R32,"n.d.")</f>
        <v>8.0999999999999996E-3</v>
      </c>
      <c r="L54" s="553">
        <f>IF(ISNUMBER('MPs PS'!R32),'MPs PS'!R32,"n.d.")</f>
        <v>8.0999999999999996E-3</v>
      </c>
      <c r="M54" s="553">
        <f>IF(ISNUMBER('MPs PS'!R32),'MPs PS'!R32,"n.d.")</f>
        <v>8.0999999999999996E-3</v>
      </c>
      <c r="N54" s="553">
        <f>IF(ISNUMBER('MPs PS'!R32),'MPs PS'!R32,"n.d.")</f>
        <v>8.0999999999999996E-3</v>
      </c>
      <c r="O54" s="548"/>
    </row>
    <row r="55" spans="1:15" ht="21.75" customHeight="1" x14ac:dyDescent="0.55000000000000004">
      <c r="A55" s="513" t="s">
        <v>21</v>
      </c>
      <c r="B55" s="513" t="s">
        <v>55</v>
      </c>
      <c r="C55" s="553">
        <f>IF(ISNUMBER('MPs PS'!R26),'MPs PS'!R26,"n.d.")</f>
        <v>7.6999999999999999E-2</v>
      </c>
      <c r="D55" s="553">
        <f>IF(ISNUMBER('MPs PS'!R26),'MPs PS'!R26,"n.d.")</f>
        <v>7.6999999999999999E-2</v>
      </c>
      <c r="E55" s="553">
        <f>IF(ISNUMBER('MPs PS'!R26),'MPs PS'!R26,"n.d.")</f>
        <v>7.6999999999999999E-2</v>
      </c>
      <c r="F55" s="553">
        <f>IF(ISNUMBER('MPs PS'!R26),'MPs PS'!R26,"n.d.")</f>
        <v>7.6999999999999999E-2</v>
      </c>
      <c r="G55" s="553">
        <f>IF(ISNUMBER('MPs PS'!R26),'MPs PS'!R26,"n.d.")</f>
        <v>7.6999999999999999E-2</v>
      </c>
      <c r="H55" s="553">
        <f>IF(ISNUMBER('MPs PS'!R26),'MPs PS'!R26,"n.d.")</f>
        <v>7.6999999999999999E-2</v>
      </c>
      <c r="I55" s="553">
        <f>IF(ISNUMBER('MPs PS'!R26),'MPs PS'!R26,"n.d.")</f>
        <v>7.6999999999999999E-2</v>
      </c>
      <c r="J55" s="553">
        <f>IF(ISNUMBER('MPs PS'!R26),'MPs PS'!R26,"n.d.")</f>
        <v>7.6999999999999999E-2</v>
      </c>
      <c r="K55" s="553">
        <f>IF(ISNUMBER('MPs PS'!R26),'MPs PS'!R26,"n.d.")</f>
        <v>7.6999999999999999E-2</v>
      </c>
      <c r="L55" s="553">
        <f>IF(ISNUMBER('MPs PS'!R26),'MPs PS'!R26,"n.d.")</f>
        <v>7.6999999999999999E-2</v>
      </c>
      <c r="M55" s="553">
        <f>IF(ISNUMBER('MPs PS'!R26),'MPs PS'!R26,"n.d.")</f>
        <v>7.6999999999999999E-2</v>
      </c>
      <c r="N55" s="553">
        <f>IF(ISNUMBER('MPs PS'!R26),'MPs PS'!R26,"n.d.")</f>
        <v>7.6999999999999999E-2</v>
      </c>
      <c r="O55" s="548"/>
    </row>
    <row r="56" spans="1:15" ht="21.75" customHeight="1" x14ac:dyDescent="0.55000000000000004">
      <c r="A56" s="513" t="s">
        <v>42</v>
      </c>
      <c r="B56" s="513" t="s">
        <v>55</v>
      </c>
      <c r="C56" s="553">
        <f>IF(ISNUMBER('MPs PS'!R62),'MPs PS'!R62,"n.d.")</f>
        <v>4.2641325536062387E-4</v>
      </c>
      <c r="D56" s="553">
        <f>IF(ISNUMBER('MPs PS'!R62),'MPs PS'!R62,"n.d.")</f>
        <v>4.2641325536062387E-4</v>
      </c>
      <c r="E56" s="553">
        <f>IF(ISNUMBER('MPs PS'!R62),'MPs PS'!R62,"n.d.")</f>
        <v>4.2641325536062387E-4</v>
      </c>
      <c r="F56" s="553">
        <f>IF(ISNUMBER('MPs PS'!R62),'MPs PS'!R62,"n.d.")</f>
        <v>4.2641325536062387E-4</v>
      </c>
      <c r="G56" s="553">
        <f>IF(ISNUMBER('MPs PS'!R62),'MPs PS'!R62,"n.d.")</f>
        <v>4.2641325536062387E-4</v>
      </c>
      <c r="H56" s="553">
        <f>IF(ISNUMBER('MPs PS'!R62),'MPs PS'!R62,"n.d.")</f>
        <v>4.2641325536062387E-4</v>
      </c>
      <c r="I56" s="553">
        <f>IF(ISNUMBER('MPs PS'!R62),'MPs PS'!R62,"n.d.")</f>
        <v>4.2641325536062387E-4</v>
      </c>
      <c r="J56" s="553">
        <f>IF(ISNUMBER('MPs PS'!R62),'MPs PS'!R62,"n.d.")</f>
        <v>4.2641325536062387E-4</v>
      </c>
      <c r="K56" s="553">
        <f>IF(ISNUMBER('MPs PS'!R62),'MPs PS'!R62,"n.d.")</f>
        <v>4.2641325536062387E-4</v>
      </c>
      <c r="L56" s="553">
        <f>IF(ISNUMBER('MPs PS'!R62),'MPs PS'!R62,"n.d.")</f>
        <v>4.2641325536062387E-4</v>
      </c>
      <c r="M56" s="553">
        <f>IF(ISNUMBER('MPs PS'!R62),'MPs PS'!R62,"n.d.")</f>
        <v>4.2641325536062387E-4</v>
      </c>
      <c r="N56" s="553">
        <f>IF(ISNUMBER('MPs PS'!R62),'MPs PS'!R62,"n.d.")</f>
        <v>4.2641325536062387E-4</v>
      </c>
      <c r="O56" s="548"/>
    </row>
    <row r="57" spans="1:15" ht="21.75" customHeight="1" x14ac:dyDescent="0.55000000000000004">
      <c r="A57" s="513" t="s">
        <v>23</v>
      </c>
      <c r="B57" s="513" t="s">
        <v>55</v>
      </c>
      <c r="C57" s="553">
        <f>IF(ISNUMBER('MPs PS'!R68),'MPs PS'!R68,"n.d.")</f>
        <v>0</v>
      </c>
      <c r="D57" s="553">
        <f>IF(ISNUMBER('MPs PS'!R68),'MPs PS'!R68,"n.d.")</f>
        <v>0</v>
      </c>
      <c r="E57" s="553">
        <f>IF(ISNUMBER('MPs PS'!R68),'MPs PS'!R68,"n.d.")</f>
        <v>0</v>
      </c>
      <c r="F57" s="553">
        <f>IF(ISNUMBER('MPs PS'!R68),'MPs PS'!R68,"n.d.")</f>
        <v>0</v>
      </c>
      <c r="G57" s="553">
        <f>IF(ISNUMBER('MPs PS'!R68),'MPs PS'!R68,"n.d.")</f>
        <v>0</v>
      </c>
      <c r="H57" s="553">
        <f>IF(ISNUMBER('MPs PS'!R68),'MPs PS'!R68,"n.d.")</f>
        <v>0</v>
      </c>
      <c r="I57" s="553">
        <f>IF(ISNUMBER('MPs PS'!R68),'MPs PS'!R68,"n.d.")</f>
        <v>0</v>
      </c>
      <c r="J57" s="553">
        <f>IF(ISNUMBER('MPs PS'!R68),'MPs PS'!R68,"n.d.")</f>
        <v>0</v>
      </c>
      <c r="K57" s="553">
        <f>IF(ISNUMBER('MPs PS'!R68),'MPs PS'!R68,"n.d.")</f>
        <v>0</v>
      </c>
      <c r="L57" s="553">
        <f>IF(ISNUMBER('MPs PS'!R68),'MPs PS'!R68,"n.d.")</f>
        <v>0</v>
      </c>
      <c r="M57" s="553">
        <f>IF(ISNUMBER('MPs PS'!R68),'MPs PS'!R68,"n.d.")</f>
        <v>0</v>
      </c>
      <c r="N57" s="553">
        <f>IF(ISNUMBER('MPs PS'!R68),'MPs PS'!R68,"n.d.")</f>
        <v>0</v>
      </c>
      <c r="O57" s="548"/>
    </row>
    <row r="58" spans="1:15" ht="21.75" customHeight="1" x14ac:dyDescent="0.55000000000000004">
      <c r="A58" s="513" t="s">
        <v>438</v>
      </c>
      <c r="B58" s="513" t="s">
        <v>55</v>
      </c>
      <c r="C58" s="553">
        <f>IF(ISNUMBER('MPs PS'!R74),'MPs PS'!R74,"n.d.")</f>
        <v>117.09688808000001</v>
      </c>
      <c r="D58" s="553">
        <f>IF(ISNUMBER('MPs PS'!R74),'MPs PS'!R74,"n.d.")</f>
        <v>117.09688808000001</v>
      </c>
      <c r="E58" s="553">
        <f>IF(ISNUMBER('MPs PS'!R74),'MPs PS'!R74,"n.d.")</f>
        <v>117.09688808000001</v>
      </c>
      <c r="F58" s="553">
        <f>IF(ISNUMBER('MPs PS'!R74),'MPs PS'!R74,"n.d.")</f>
        <v>117.09688808000001</v>
      </c>
      <c r="G58" s="553">
        <f>IF(ISNUMBER('MPs PS'!R74),'MPs PS'!R74,"n.d.")</f>
        <v>117.09688808000001</v>
      </c>
      <c r="H58" s="553">
        <f>IF(ISNUMBER('MPs PS'!R74),'MPs PS'!R74,"n.d.")</f>
        <v>117.09688808000001</v>
      </c>
      <c r="I58" s="553">
        <f>IF(ISNUMBER('MPs PS'!R74),'MPs PS'!R74,"n.d.")</f>
        <v>117.09688808000001</v>
      </c>
      <c r="J58" s="553">
        <f>IF(ISNUMBER('MPs PS'!R74),'MPs PS'!R74,"n.d.")</f>
        <v>117.09688808000001</v>
      </c>
      <c r="K58" s="553">
        <f>IF(ISNUMBER('MPs PS'!R74),'MPs PS'!R74,"n.d.")</f>
        <v>117.09688808000001</v>
      </c>
      <c r="L58" s="553">
        <f>IF(ISNUMBER('MPs PS'!R74),'MPs PS'!R74,"n.d.")</f>
        <v>117.09688808000001</v>
      </c>
      <c r="M58" s="553">
        <f>IF(ISNUMBER('MPs PS'!R74),'MPs PS'!R74,"n.d.")</f>
        <v>117.09688808000001</v>
      </c>
      <c r="N58" s="553">
        <f>IF(ISNUMBER('MPs PS'!R74),'MPs PS'!R74,"n.d.")</f>
        <v>117.09688808000001</v>
      </c>
      <c r="O58" s="548"/>
    </row>
    <row r="59" spans="1:15" ht="21.75" customHeight="1" x14ac:dyDescent="0.55000000000000004">
      <c r="A59" s="513"/>
      <c r="B59" s="513"/>
      <c r="C59" s="548"/>
      <c r="D59" s="548"/>
      <c r="E59" s="548"/>
      <c r="F59" s="548"/>
      <c r="G59" s="548"/>
      <c r="H59" s="548"/>
      <c r="I59" s="548"/>
      <c r="J59" s="548"/>
      <c r="K59" s="548"/>
      <c r="L59" s="548"/>
      <c r="M59" s="548"/>
      <c r="N59" s="548"/>
      <c r="O59" s="548"/>
    </row>
    <row r="60" spans="1:15" ht="21.75" customHeight="1" x14ac:dyDescent="0.55000000000000004">
      <c r="A60" s="513"/>
      <c r="B60" s="513"/>
      <c r="C60" s="548"/>
      <c r="D60" s="548"/>
      <c r="E60" s="548"/>
      <c r="F60" s="548"/>
      <c r="G60" s="548"/>
      <c r="H60" s="548"/>
      <c r="I60" s="548"/>
      <c r="J60" s="548"/>
      <c r="K60" s="548"/>
      <c r="L60" s="548"/>
      <c r="M60" s="548"/>
      <c r="N60" s="548"/>
      <c r="O60" s="548"/>
    </row>
    <row r="61" spans="1:15" ht="21.75" customHeight="1" x14ac:dyDescent="0.55000000000000004">
      <c r="A61" s="513" t="s">
        <v>449</v>
      </c>
      <c r="B61" s="513" t="s">
        <v>450</v>
      </c>
      <c r="C61" s="548">
        <v>2000</v>
      </c>
      <c r="D61" s="548"/>
      <c r="E61" s="548"/>
      <c r="F61" s="548"/>
      <c r="G61" s="548"/>
      <c r="H61" s="548"/>
      <c r="I61" s="548"/>
      <c r="J61" s="548"/>
      <c r="K61" s="548"/>
      <c r="L61" s="548"/>
      <c r="M61" s="548"/>
      <c r="N61" s="548"/>
      <c r="O61" s="548"/>
    </row>
    <row r="62" spans="1:15" ht="21.75" customHeight="1" x14ac:dyDescent="0.55000000000000004">
      <c r="A62" s="513" t="s">
        <v>451</v>
      </c>
      <c r="B62" s="513" t="s">
        <v>452</v>
      </c>
      <c r="C62" s="548">
        <v>1000000</v>
      </c>
      <c r="D62" s="548"/>
      <c r="E62" s="548"/>
      <c r="F62" s="548"/>
      <c r="G62" s="548"/>
      <c r="H62" s="548"/>
      <c r="I62" s="548"/>
      <c r="J62" s="548"/>
      <c r="K62" s="548"/>
      <c r="L62" s="548"/>
      <c r="M62" s="548"/>
      <c r="N62" s="548"/>
      <c r="O62" s="548"/>
    </row>
    <row r="63" spans="1:15" ht="21.75" customHeight="1" x14ac:dyDescent="0.55000000000000004">
      <c r="A63" s="513" t="s">
        <v>453</v>
      </c>
      <c r="B63" s="513" t="s">
        <v>454</v>
      </c>
      <c r="C63" s="548">
        <v>42</v>
      </c>
      <c r="D63" s="548"/>
      <c r="E63" s="548"/>
      <c r="F63" s="548"/>
      <c r="G63" s="548"/>
      <c r="H63" s="548"/>
      <c r="I63" s="548"/>
      <c r="J63" s="548"/>
      <c r="K63" s="548"/>
      <c r="L63" s="548"/>
      <c r="M63" s="548"/>
      <c r="N63" s="548"/>
      <c r="O63" s="548"/>
    </row>
    <row r="64" spans="1:15" ht="21.75" customHeight="1" x14ac:dyDescent="0.55000000000000004">
      <c r="A64" s="513"/>
      <c r="B64" s="513"/>
      <c r="C64" s="548"/>
      <c r="D64" s="548"/>
      <c r="E64" s="548"/>
      <c r="F64" s="548"/>
      <c r="G64" s="548"/>
      <c r="H64" s="548"/>
      <c r="I64" s="548"/>
      <c r="J64" s="548"/>
      <c r="K64" s="548"/>
      <c r="L64" s="548"/>
      <c r="M64" s="548"/>
      <c r="N64" s="548"/>
      <c r="O64" s="548"/>
    </row>
    <row r="65" spans="1:15" ht="31.5" customHeight="1" x14ac:dyDescent="0.55000000000000004">
      <c r="A65" s="610" t="s">
        <v>455</v>
      </c>
      <c r="B65" s="610"/>
      <c r="C65" s="545"/>
      <c r="D65" s="545"/>
      <c r="E65" s="545"/>
      <c r="F65" s="545"/>
      <c r="G65" s="545"/>
      <c r="H65" s="545"/>
      <c r="I65" s="545"/>
      <c r="J65" s="545"/>
      <c r="K65" s="545"/>
      <c r="L65" s="545"/>
      <c r="M65" s="545"/>
      <c r="N65" s="545"/>
      <c r="O65" s="545"/>
    </row>
    <row r="66" spans="1:15" ht="37.5" customHeight="1" x14ac:dyDescent="0.55000000000000004">
      <c r="A66" s="539" t="s">
        <v>375</v>
      </c>
      <c r="B66" s="539" t="s">
        <v>376</v>
      </c>
      <c r="C66" s="539" t="s">
        <v>427</v>
      </c>
      <c r="D66" s="539" t="s">
        <v>428</v>
      </c>
      <c r="E66" s="539" t="s">
        <v>429</v>
      </c>
      <c r="F66" s="539" t="s">
        <v>430</v>
      </c>
      <c r="G66" s="539" t="s">
        <v>5</v>
      </c>
      <c r="H66" s="539" t="s">
        <v>431</v>
      </c>
      <c r="I66" s="539" t="s">
        <v>432</v>
      </c>
      <c r="J66" s="539" t="s">
        <v>433</v>
      </c>
      <c r="K66" s="539" t="s">
        <v>434</v>
      </c>
      <c r="L66" s="539" t="s">
        <v>435</v>
      </c>
      <c r="M66" s="539" t="s">
        <v>436</v>
      </c>
      <c r="N66" s="539" t="s">
        <v>437</v>
      </c>
      <c r="O66" s="539"/>
    </row>
    <row r="67" spans="1:15" ht="21.75" customHeight="1" x14ac:dyDescent="0.55000000000000004">
      <c r="A67" s="513" t="s">
        <v>456</v>
      </c>
      <c r="B67" s="513" t="s">
        <v>94</v>
      </c>
      <c r="C67" s="546">
        <f>IF(ISNUMBER('Mensual 2025'!C16),'Mensual 2025'!C16,"n.d.")</f>
        <v>330906.65999999997</v>
      </c>
      <c r="D67" s="546">
        <f>IF(ISNUMBER('Mensual 2025'!D16),'Mensual 2025'!D16,"n.d.")</f>
        <v>762088.32</v>
      </c>
      <c r="E67" s="546">
        <f>IF(ISNUMBER('Mensual 2025'!E16),'Mensual 2025'!E16,"n.d.")</f>
        <v>0</v>
      </c>
      <c r="F67" s="546">
        <f>IF(ISNUMBER('Mensual 2025'!F16),'Mensual 2025'!F16,"n.d.")</f>
        <v>0</v>
      </c>
      <c r="G67" s="546">
        <f>IF(ISNUMBER('Mensual 2025'!G16),'Mensual 2025'!G16,"n.d.")</f>
        <v>2658474.42</v>
      </c>
      <c r="H67" s="546">
        <f>IF(ISNUMBER('Mensual 2025'!H16),'Mensual 2025'!H16,"n.d.")</f>
        <v>10104505.32</v>
      </c>
      <c r="I67" s="546">
        <f>IF(ISNUMBER('Mensual 2025'!I16),'Mensual 2025'!I16,"n.d.")</f>
        <v>3136727.58</v>
      </c>
      <c r="J67" s="546">
        <f>IF(ISNUMBER('Mensual 2025'!J16),'Mensual 2025'!J16,"n.d.")</f>
        <v>1383275.46</v>
      </c>
      <c r="K67" s="546">
        <f>IF(ISNUMBER('Mensual 2025'!K16),'Mensual 2025'!K16,"n.d.")</f>
        <v>665703.36</v>
      </c>
      <c r="L67" s="546">
        <f>IF(ISNUMBER('Mensual 2025'!L16),'Mensual 2025'!L16,"n.d.")</f>
        <v>2844801.12</v>
      </c>
      <c r="M67" s="546">
        <f>IF(ISNUMBER('Mensual 2025'!M16),'Mensual 2025'!M16,"n.d.")</f>
        <v>2041878.3</v>
      </c>
      <c r="N67" s="546">
        <f>IF(ISNUMBER('Mensual 2025'!N16),'Mensual 2025'!N16,"n.d.")</f>
        <v>4440474.3600000003</v>
      </c>
      <c r="O67" s="548"/>
    </row>
    <row r="68" spans="1:15" ht="21.75" customHeight="1" x14ac:dyDescent="0.55000000000000004">
      <c r="A68" s="513" t="s">
        <v>457</v>
      </c>
      <c r="B68" s="513" t="s">
        <v>74</v>
      </c>
      <c r="C68" s="526">
        <f>IF(ISNUMBER('Mensual 2025'!C17),'Mensual 2025'!C17,"n.d.")</f>
        <v>1554213850</v>
      </c>
      <c r="D68" s="526">
        <f>IF(ISNUMBER('Mensual 2025'!D17),'Mensual 2025'!D17,"n.d.")</f>
        <v>1267505400</v>
      </c>
      <c r="E68" s="526">
        <f>IF(ISNUMBER('Mensual 2025'!E17),'Mensual 2025'!E17,"n.d.")</f>
        <v>0</v>
      </c>
      <c r="F68" s="526">
        <f>IF(ISNUMBER('Mensual 2025'!F17),'Mensual 2025'!F17,"n.d.")</f>
        <v>0</v>
      </c>
      <c r="G68" s="526">
        <f>IF(ISNUMBER('Mensual 2025'!G17),'Mensual 2025'!G17,"n.d.")</f>
        <v>1357855300</v>
      </c>
      <c r="H68" s="526">
        <f>IF(ISNUMBER('Mensual 2025'!H17),'Mensual 2025'!H17,"n.d.")</f>
        <v>522307994.19999999</v>
      </c>
      <c r="I68" s="526">
        <f>IF(ISNUMBER('Mensual 2025'!I17),'Mensual 2025'!I17,"n.d.")</f>
        <v>1422853380</v>
      </c>
      <c r="J68" s="526">
        <f>IF(ISNUMBER('Mensual 2025'!J17),'Mensual 2025'!J17,"n.d.")</f>
        <v>2189928000</v>
      </c>
      <c r="K68" s="526">
        <f>IF(ISNUMBER('Mensual 2025'!K17),'Mensual 2025'!K17,"n.d.")</f>
        <v>2168538000</v>
      </c>
      <c r="L68" s="526">
        <f>IF(ISNUMBER('Mensual 2025'!L17),'Mensual 2025'!L17,"n.d.")</f>
        <v>2250942444</v>
      </c>
      <c r="M68" s="526">
        <f>IF(ISNUMBER('Mensual 2025'!M17),'Mensual 2025'!M17,"n.d.")</f>
        <v>1824088440</v>
      </c>
      <c r="N68" s="526">
        <f>IF(ISNUMBER('Mensual 2025'!N17),'Mensual 2025'!N17,"n.d.")</f>
        <v>1158591780</v>
      </c>
      <c r="O68" s="548"/>
    </row>
    <row r="69" spans="1:15" ht="21.75" customHeight="1" x14ac:dyDescent="0.55000000000000004">
      <c r="A69" s="513" t="s">
        <v>458</v>
      </c>
      <c r="B69" s="513" t="s">
        <v>94</v>
      </c>
      <c r="C69" s="546">
        <f>IF(ISNUMBER('Mensual 2025'!C19),'Mensual 2025'!C19,"n.d.")</f>
        <v>8255976.96</v>
      </c>
      <c r="D69" s="546">
        <f>IF(ISNUMBER('Mensual 2025'!D19),'Mensual 2025'!D19,"n.d.")</f>
        <v>8463100.3800000008</v>
      </c>
      <c r="E69" s="546">
        <f>IF(ISNUMBER('Mensual 2025'!E19),'Mensual 2025'!E19,"n.d.")</f>
        <v>3474278.64</v>
      </c>
      <c r="F69" s="546">
        <f>IF(ISNUMBER('Mensual 2025'!F19),'Mensual 2025'!F19,"n.d.")</f>
        <v>2669000.46</v>
      </c>
      <c r="G69" s="546">
        <f>IF(ISNUMBER('Mensual 2025'!G19),'Mensual 2025'!G19,"n.d.")</f>
        <v>8645531.5800000001</v>
      </c>
      <c r="H69" s="546">
        <f>IF(ISNUMBER('Mensual 2025'!H19),'Mensual 2025'!H19,"n.d.")</f>
        <v>7613907</v>
      </c>
      <c r="I69" s="546">
        <f>IF(ISNUMBER('Mensual 2025'!I19),'Mensual 2025'!I19,"n.d.")</f>
        <v>8141125.4400000004</v>
      </c>
      <c r="J69" s="546">
        <f>IF(ISNUMBER('Mensual 2025'!J19),'Mensual 2025'!J19,"n.d.")</f>
        <v>1111535.8799999999</v>
      </c>
      <c r="K69" s="546">
        <f>IF(ISNUMBER('Mensual 2025'!K19),'Mensual 2025'!K19,"n.d.")</f>
        <v>287365.68</v>
      </c>
      <c r="L69" s="546">
        <f>IF(ISNUMBER('Mensual 2025'!L19),'Mensual 2025'!L19,"n.d.")</f>
        <v>6398555.5199999996</v>
      </c>
      <c r="M69" s="546">
        <f>IF(ISNUMBER('Mensual 2025'!M19),'Mensual 2025'!M19,"n.d.")</f>
        <v>3906787.08</v>
      </c>
      <c r="N69" s="546">
        <f>IF(ISNUMBER('Mensual 2025'!N19),'Mensual 2025'!N19,"n.d.")</f>
        <v>9949477.0199999996</v>
      </c>
      <c r="O69" s="548"/>
    </row>
    <row r="70" spans="1:15" ht="21.75" customHeight="1" x14ac:dyDescent="0.55000000000000004">
      <c r="A70" s="513" t="s">
        <v>459</v>
      </c>
      <c r="B70" s="513" t="s">
        <v>74</v>
      </c>
      <c r="C70" s="526">
        <f>IF(ISNUMBER('Mensual 2025'!C20),'Mensual 2025'!C20,"n.d.")</f>
        <v>745542910</v>
      </c>
      <c r="D70" s="526">
        <f>IF(ISNUMBER('Mensual 2025'!D20),'Mensual 2025'!D20,"n.d.")</f>
        <v>526697500</v>
      </c>
      <c r="E70" s="526">
        <f>IF(ISNUMBER('Mensual 2025'!E20),'Mensual 2025'!E20,"n.d.")</f>
        <v>1555548100</v>
      </c>
      <c r="F70" s="526">
        <f>IF(ISNUMBER('Mensual 2025'!F20),'Mensual 2025'!F20,"n.d.")</f>
        <v>1605781227</v>
      </c>
      <c r="G70" s="526">
        <f>IF(ISNUMBER('Mensual 2025'!G20),'Mensual 2025'!G20,"n.d.")</f>
        <v>854542040</v>
      </c>
      <c r="H70" s="526">
        <f>IF(ISNUMBER('Mensual 2025'!H20),'Mensual 2025'!H20,"n.d.")</f>
        <v>1132051705.97</v>
      </c>
      <c r="I70" s="526">
        <f>IF(ISNUMBER('Mensual 2025'!I20),'Mensual 2025'!I20,"n.d.")</f>
        <v>661591230</v>
      </c>
      <c r="J70" s="526">
        <f>IF(ISNUMBER('Mensual 2025'!J20),'Mensual 2025'!J20,"n.d.")</f>
        <v>1737847350</v>
      </c>
      <c r="K70" s="526">
        <f>IF(ISNUMBER('Mensual 2025'!K20),'Mensual 2025'!K20,"n.d.")</f>
        <v>1802932000</v>
      </c>
      <c r="L70" s="526">
        <f>IF(ISNUMBER('Mensual 2025'!L20),'Mensual 2025'!L20,"n.d.")</f>
        <v>1871443416</v>
      </c>
      <c r="M70" s="526">
        <f>IF(ISNUMBER('Mensual 2025'!M20),'Mensual 2025'!M20,"n.d.")</f>
        <v>1252750380</v>
      </c>
      <c r="N70" s="526">
        <f>IF(ISNUMBER('Mensual 2025'!N20),'Mensual 2025'!N20,"n.d.")</f>
        <v>314048870</v>
      </c>
      <c r="O70" s="548"/>
    </row>
    <row r="71" spans="1:15" ht="21.75" customHeight="1" x14ac:dyDescent="0.55000000000000004">
      <c r="A71" s="513" t="s">
        <v>460</v>
      </c>
      <c r="B71" s="513" t="s">
        <v>94</v>
      </c>
      <c r="C71" s="546">
        <f>IF(ISNUMBER('Mensual 2025'!C33),'Mensual 2025'!C33,"n.d.")</f>
        <v>43260</v>
      </c>
      <c r="D71" s="546">
        <f>IF(ISNUMBER('Mensual 2025'!D33),'Mensual 2025'!D33,"n.d.")</f>
        <v>121656</v>
      </c>
      <c r="E71" s="546">
        <f>IF(ISNUMBER('Mensual 2025'!E33),'Mensual 2025'!E33,"n.d.")</f>
        <v>3539</v>
      </c>
      <c r="F71" s="546">
        <f>IF(ISNUMBER('Mensual 2025'!F33),'Mensual 2025'!F33,"n.d.")</f>
        <v>0</v>
      </c>
      <c r="G71" s="546">
        <f>IF(ISNUMBER('Mensual 2025'!G33),'Mensual 2025'!G33,"n.d.")</f>
        <v>0</v>
      </c>
      <c r="H71" s="546">
        <f>IF(ISNUMBER('Mensual 2025'!H33),'Mensual 2025'!H33,"n.d.")</f>
        <v>0</v>
      </c>
      <c r="I71" s="546">
        <f>IF(ISNUMBER('Mensual 2025'!I33),'Mensual 2025'!I33,"n.d.")</f>
        <v>0</v>
      </c>
      <c r="J71" s="546">
        <f>IF(ISNUMBER('Mensual 2025'!J33),'Mensual 2025'!J33,"n.d.")</f>
        <v>0</v>
      </c>
      <c r="K71" s="546">
        <f>IF(ISNUMBER('Mensual 2025'!K33),'Mensual 2025'!K33,"n.d.")</f>
        <v>0</v>
      </c>
      <c r="L71" s="546">
        <f>IF(ISNUMBER('Mensual 2025'!L33),'Mensual 2025'!L33,"n.d.")</f>
        <v>0</v>
      </c>
      <c r="M71" s="546">
        <f>IF(ISNUMBER('Mensual 2025'!M33),'Mensual 2025'!M33,"n.d.")</f>
        <v>0</v>
      </c>
      <c r="N71" s="546">
        <f>IF(ISNUMBER('Mensual 2025'!N33),'Mensual 2025'!N33,"n.d.")</f>
        <v>0</v>
      </c>
      <c r="O71" s="548"/>
    </row>
    <row r="72" spans="1:15" ht="21.75" customHeight="1" x14ac:dyDescent="0.55000000000000004">
      <c r="A72" s="513" t="s">
        <v>461</v>
      </c>
      <c r="B72" s="513" t="s">
        <v>94</v>
      </c>
      <c r="C72" s="546">
        <f>IF(COUNT('Mensual 2025'!C43,'Mensual 2025'!C44)=2,SUM('Mensual 2025'!C43,'Mensual 2025'!C44),"n.d.")</f>
        <v>1150774.3799999999</v>
      </c>
      <c r="D72" s="546">
        <f>IF(COUNT('Mensual 2025'!D43,'Mensual 2025'!D44)=2,SUM('Mensual 2025'!D43,'Mensual 2025'!D44),"n.d.")</f>
        <v>3485382.1799999997</v>
      </c>
      <c r="E72" s="546">
        <f>IF(COUNT('Mensual 2025'!E43,'Mensual 2025'!E44)=2,SUM('Mensual 2025'!E43,'Mensual 2025'!E44),"n.d.")</f>
        <v>3959148.0599999996</v>
      </c>
      <c r="F72" s="546">
        <f>IF(COUNT('Mensual 2025'!F43,'Mensual 2025'!F44)=2,SUM('Mensual 2025'!F43,'Mensual 2025'!F44),"n.d.")</f>
        <v>3561641.1599999997</v>
      </c>
      <c r="G72" s="546">
        <f>IF(COUNT('Mensual 2025'!G43,'Mensual 2025'!G44)=2,SUM('Mensual 2025'!G43,'Mensual 2025'!G44),"n.d.")</f>
        <v>3686506.3200000003</v>
      </c>
      <c r="H72" s="546">
        <f>IF(COUNT('Mensual 2025'!H43,'Mensual 2025'!H44)=2,SUM('Mensual 2025'!H43,'Mensual 2025'!H44),"n.d.")</f>
        <v>3992375.52</v>
      </c>
      <c r="I72" s="546">
        <f>IF(COUNT('Mensual 2025'!I43,'Mensual 2025'!I44)=2,SUM('Mensual 2025'!I43,'Mensual 2025'!I44),"n.d.")</f>
        <v>3496891.02</v>
      </c>
      <c r="J72" s="546">
        <f>IF(COUNT('Mensual 2025'!J43,'Mensual 2025'!J44)=2,SUM('Mensual 2025'!J43,'Mensual 2025'!J44),"n.d.")</f>
        <v>3971392.74</v>
      </c>
      <c r="K72" s="546">
        <f>IF(COUNT('Mensual 2025'!K43,'Mensual 2025'!K44)=2,SUM('Mensual 2025'!K43,'Mensual 2025'!K44),"n.d.")</f>
        <v>3166007.46</v>
      </c>
      <c r="L72" s="546">
        <f>IF(COUNT('Mensual 2025'!L43,'Mensual 2025'!L44)=2,SUM('Mensual 2025'!L43,'Mensual 2025'!L44),"n.d.")</f>
        <v>3686068.6799999997</v>
      </c>
      <c r="M72" s="546">
        <f>IF(COUNT('Mensual 2025'!M43,'Mensual 2025'!M44)=2,SUM('Mensual 2025'!M43,'Mensual 2025'!M44),"n.d.")</f>
        <v>3862321.6799999997</v>
      </c>
      <c r="N72" s="546">
        <f>IF(COUNT('Mensual 2025'!N43,'Mensual 2025'!N44)=2,SUM('Mensual 2025'!N43,'Mensual 2025'!N44),"n.d.")</f>
        <v>3436921.74</v>
      </c>
      <c r="O72" s="548"/>
    </row>
    <row r="73" spans="1:15" ht="21.75" customHeight="1" x14ac:dyDescent="0.55000000000000004">
      <c r="A73" s="513" t="s">
        <v>462</v>
      </c>
      <c r="B73" s="513" t="s">
        <v>94</v>
      </c>
      <c r="C73" s="546">
        <f>IF(ISNUMBER('Mensual 2025'!C46),'Mensual 2025'!C46,"n.d.")</f>
        <v>1445632.02</v>
      </c>
      <c r="D73" s="546">
        <f>IF(ISNUMBER('Mensual 2025'!D46),'Mensual 2025'!D46,"n.d.")</f>
        <v>2857839.6</v>
      </c>
      <c r="E73" s="546">
        <f>IF(ISNUMBER('Mensual 2025'!E46),'Mensual 2025'!E46,"n.d.")</f>
        <v>5410026.2999999998</v>
      </c>
      <c r="F73" s="546">
        <f>IF(ISNUMBER('Mensual 2025'!F46),'Mensual 2025'!F46,"n.d.")</f>
        <v>4279874.76</v>
      </c>
      <c r="G73" s="546">
        <f>IF(ISNUMBER('Mensual 2025'!G46),'Mensual 2025'!G46,"n.d.")</f>
        <v>819495.6</v>
      </c>
      <c r="H73" s="546">
        <f>IF(ISNUMBER('Mensual 2025'!H46),'Mensual 2025'!H46,"n.d.")</f>
        <v>1090787.8799999999</v>
      </c>
      <c r="I73" s="546">
        <f>IF(ISNUMBER('Mensual 2025'!I46),'Mensual 2025'!I46,"n.d.")</f>
        <v>1594594.26</v>
      </c>
      <c r="J73" s="546">
        <f>IF(ISNUMBER('Mensual 2025'!J46),'Mensual 2025'!J46,"n.d.")</f>
        <v>809326.1399999999</v>
      </c>
      <c r="K73" s="546">
        <f>IF(ISNUMBER('Mensual 2025'!K46),'Mensual 2025'!K46,"n.d.")</f>
        <v>1217367.06</v>
      </c>
      <c r="L73" s="546">
        <f>IF(ISNUMBER('Mensual 2025'!L46),'Mensual 2025'!L46,"n.d.")</f>
        <v>2387308.14</v>
      </c>
      <c r="M73" s="546">
        <f>IF(ISNUMBER('Mensual 2025'!M46),'Mensual 2025'!M46,"n.d.")</f>
        <v>703114.44</v>
      </c>
      <c r="N73" s="546">
        <f>IF(ISNUMBER('Mensual 2025'!N46),'Mensual 2025'!N46,"n.d.")</f>
        <v>59638.32</v>
      </c>
      <c r="O73" s="548"/>
    </row>
    <row r="74" spans="1:15" ht="21.75" customHeight="1" x14ac:dyDescent="0.55000000000000004">
      <c r="A74" s="513" t="s">
        <v>463</v>
      </c>
      <c r="B74" s="513" t="s">
        <v>74</v>
      </c>
      <c r="C74" s="526">
        <f>IF(ISNUMBER('Mensual 2025'!C47),'Mensual 2025'!C47,"n.d.")</f>
        <v>812105213.96000004</v>
      </c>
      <c r="D74" s="526">
        <f>IF(ISNUMBER('Mensual 2025'!D47),'Mensual 2025'!D47,"n.d.")</f>
        <v>450238185.66000003</v>
      </c>
      <c r="E74" s="526">
        <f>IF(ISNUMBER('Mensual 2025'!E47),'Mensual 2025'!E47,"n.d.")</f>
        <v>271562882.81999999</v>
      </c>
      <c r="F74" s="526">
        <f>IF(ISNUMBER('Mensual 2025'!F47),'Mensual 2025'!F47,"n.d.")</f>
        <v>417577387.25999999</v>
      </c>
      <c r="G74" s="526">
        <f>IF(ISNUMBER('Mensual 2025'!G47),'Mensual 2025'!G47,"n.d.")</f>
        <v>822289211.36000001</v>
      </c>
      <c r="H74" s="526">
        <f>IF(ISNUMBER('Mensual 2025'!H47),'Mensual 2025'!H47,"n.d.")</f>
        <v>881008248.34000003</v>
      </c>
      <c r="I74" s="526">
        <f>IF(ISNUMBER('Mensual 2025'!I47),'Mensual 2025'!I47,"n.d.")</f>
        <v>816790064</v>
      </c>
      <c r="J74" s="526">
        <f>IF(ISNUMBER('Mensual 2025'!J47),'Mensual 2025'!J47,"n.d.")</f>
        <v>818171065.86000001</v>
      </c>
      <c r="K74" s="526">
        <f>IF(ISNUMBER('Mensual 2025'!K47),'Mensual 2025'!K47,"n.d.")</f>
        <v>770916239.36000001</v>
      </c>
      <c r="L74" s="526">
        <f>IF(ISNUMBER('Mensual 2025'!L47),'Mensual 2025'!L47,"n.d.")</f>
        <v>585164644.74000001</v>
      </c>
      <c r="M74" s="526">
        <f>IF(ISNUMBER('Mensual 2025'!M47),'Mensual 2025'!M47,"n.d.")</f>
        <v>518740758.77999997</v>
      </c>
      <c r="N74" s="526">
        <f>IF(ISNUMBER('Mensual 2025'!N47),'Mensual 2025'!N47,"n.d.")</f>
        <v>234449446.91</v>
      </c>
      <c r="O74" s="548"/>
    </row>
    <row r="75" spans="1:15" ht="21.75" customHeight="1" x14ac:dyDescent="0.55000000000000004">
      <c r="A75" s="513" t="s">
        <v>464</v>
      </c>
      <c r="B75" s="513" t="s">
        <v>94</v>
      </c>
      <c r="C75" s="546">
        <f>IF(ISNUMBER('Mensual 2025'!C49),'Mensual 2025'!C49,"n.d.")</f>
        <v>0</v>
      </c>
      <c r="D75" s="546">
        <f>IF(ISNUMBER('Mensual 2025'!D49),'Mensual 2025'!D49,"n.d.")</f>
        <v>0</v>
      </c>
      <c r="E75" s="546">
        <f>IF(ISNUMBER('Mensual 2025'!E49),'Mensual 2025'!E49,"n.d.")</f>
        <v>0</v>
      </c>
      <c r="F75" s="546">
        <f>IF(ISNUMBER('Mensual 2025'!F49),'Mensual 2025'!F49,"n.d.")</f>
        <v>0</v>
      </c>
      <c r="G75" s="546">
        <f>IF(ISNUMBER('Mensual 2025'!G49),'Mensual 2025'!G49,"n.d.")</f>
        <v>198382.38</v>
      </c>
      <c r="H75" s="546">
        <f>IF(ISNUMBER('Mensual 2025'!H49),'Mensual 2025'!H49,"n.d.")</f>
        <v>796354.44</v>
      </c>
      <c r="I75" s="546">
        <f>IF(ISNUMBER('Mensual 2025'!I49),'Mensual 2025'!I49,"n.d.")</f>
        <v>1869598.9200000002</v>
      </c>
      <c r="J75" s="546">
        <f>IF(ISNUMBER('Mensual 2025'!J49),'Mensual 2025'!J49,"n.d.")</f>
        <v>657330.24</v>
      </c>
      <c r="K75" s="546">
        <f>IF(ISNUMBER('Mensual 2025'!K49),'Mensual 2025'!K49,"n.d.")</f>
        <v>1240020.5999999999</v>
      </c>
      <c r="L75" s="546">
        <f>IF(ISNUMBER('Mensual 2025'!L49),'Mensual 2025'!L49,"n.d.")</f>
        <v>3305283.6599999997</v>
      </c>
      <c r="M75" s="546">
        <f>IF(ISNUMBER('Mensual 2025'!M49),'Mensual 2025'!M49,"n.d.")</f>
        <v>1582696.0799999998</v>
      </c>
      <c r="N75" s="546">
        <f>IF(ISNUMBER('Mensual 2025'!N49),'Mensual 2025'!N49,"n.d.")</f>
        <v>317396.52</v>
      </c>
      <c r="O75" s="548"/>
    </row>
    <row r="76" spans="1:15" ht="21.75" customHeight="1" x14ac:dyDescent="0.55000000000000004">
      <c r="A76" s="513" t="s">
        <v>465</v>
      </c>
      <c r="B76" s="513" t="s">
        <v>74</v>
      </c>
      <c r="C76" s="526">
        <f>IF(ISNUMBER('Mensual 2025'!C50),'Mensual 2025'!C50,"n.d.")</f>
        <v>0</v>
      </c>
      <c r="D76" s="526">
        <f>IF(ISNUMBER('Mensual 2025'!D50),'Mensual 2025'!D50,"n.d.")</f>
        <v>0</v>
      </c>
      <c r="E76" s="526">
        <f>IF(ISNUMBER('Mensual 2025'!E50),'Mensual 2025'!E50,"n.d.")</f>
        <v>0</v>
      </c>
      <c r="F76" s="526">
        <f>IF(ISNUMBER('Mensual 2025'!F50),'Mensual 2025'!F50,"n.d.")</f>
        <v>0</v>
      </c>
      <c r="G76" s="526">
        <f>IF(ISNUMBER('Mensual 2025'!G50),'Mensual 2025'!G50,"n.d.")</f>
        <v>362953163</v>
      </c>
      <c r="H76" s="526">
        <f>IF(ISNUMBER('Mensual 2025'!H50),'Mensual 2025'!H50,"n.d.")</f>
        <v>916670375.03999996</v>
      </c>
      <c r="I76" s="526">
        <f>IF(ISNUMBER('Mensual 2025'!I50),'Mensual 2025'!I50,"n.d.")</f>
        <v>549887070.85000002</v>
      </c>
      <c r="J76" s="526">
        <f>IF(ISNUMBER('Mensual 2025'!J50),'Mensual 2025'!J50,"n.d.")</f>
        <v>475022375.55000001</v>
      </c>
      <c r="K76" s="526">
        <f>IF(ISNUMBER('Mensual 2025'!K50),'Mensual 2025'!K50,"n.d.")</f>
        <v>677768314.94000006</v>
      </c>
      <c r="L76" s="526">
        <f>IF(ISNUMBER('Mensual 2025'!L50),'Mensual 2025'!L50,"n.d.")</f>
        <v>538312828.05999994</v>
      </c>
      <c r="M76" s="526">
        <f>IF(ISNUMBER('Mensual 2025'!M50),'Mensual 2025'!M50,"n.d.")</f>
        <v>781962680.58000004</v>
      </c>
      <c r="N76" s="526">
        <f>IF(ISNUMBER('Mensual 2025'!N50),'Mensual 2025'!N50,"n.d.")</f>
        <v>485828341.75999999</v>
      </c>
      <c r="O76" s="548"/>
    </row>
    <row r="77" spans="1:15" ht="21.75" customHeight="1" x14ac:dyDescent="0.55000000000000004">
      <c r="A77" s="513" t="s">
        <v>466</v>
      </c>
      <c r="B77" s="513" t="s">
        <v>94</v>
      </c>
      <c r="C77" s="546">
        <f>IF(ISNUMBER('Mensual 2025'!C63),'Mensual 2025'!C63,"n.d.")</f>
        <v>5394714.3600000003</v>
      </c>
      <c r="D77" s="546">
        <f>IF(ISNUMBER('Mensual 2025'!D63),'Mensual 2025'!D63,"n.d.")</f>
        <v>5925545.6399999987</v>
      </c>
      <c r="E77" s="546">
        <f>IF(ISNUMBER('Mensual 2025'!E63),'Mensual 2025'!E63,"n.d.")</f>
        <v>0</v>
      </c>
      <c r="F77" s="546">
        <f>IF(ISNUMBER('Mensual 2025'!F63),'Mensual 2025'!F63,"n.d.")</f>
        <v>0</v>
      </c>
      <c r="G77" s="546">
        <f>IF(ISNUMBER('Mensual 2025'!G63),'Mensual 2025'!G63,"n.d.")</f>
        <v>0</v>
      </c>
      <c r="H77" s="546">
        <f>IF(ISNUMBER('Mensual 2025'!H63),'Mensual 2025'!H63,"n.d.")</f>
        <v>3380857.2</v>
      </c>
      <c r="I77" s="546">
        <f>IF(ISNUMBER('Mensual 2025'!I63),'Mensual 2025'!I63,"n.d.")</f>
        <v>10680771.359999999</v>
      </c>
      <c r="J77" s="546">
        <f>IF(ISNUMBER('Mensual 2025'!J63),'Mensual 2025'!J63,"n.d.")</f>
        <v>10824896.460000001</v>
      </c>
      <c r="K77" s="546">
        <f>IF(ISNUMBER('Mensual 2025'!K63),'Mensual 2025'!K63,"n.d.")</f>
        <v>13078637.039999999</v>
      </c>
      <c r="L77" s="546">
        <f>IF(ISNUMBER('Mensual 2025'!L63),'Mensual 2025'!L63,"n.d.")</f>
        <v>11404992.48</v>
      </c>
      <c r="M77" s="546">
        <f>IF(ISNUMBER('Mensual 2025'!M63),'Mensual 2025'!M63,"n.d.")</f>
        <v>11758365.360000001</v>
      </c>
      <c r="N77" s="546">
        <f>IF(ISNUMBER('Mensual 2025'!N63),'Mensual 2025'!N63,"n.d.")</f>
        <v>7281480.7800000003</v>
      </c>
      <c r="O77" s="548"/>
    </row>
    <row r="78" spans="1:15" ht="21.75" customHeight="1" x14ac:dyDescent="0.55000000000000004">
      <c r="A78" s="513" t="s">
        <v>467</v>
      </c>
      <c r="B78" s="513" t="s">
        <v>94</v>
      </c>
      <c r="C78" s="546">
        <f>IF(ISNUMBER('Mensual 2025'!C65),'Mensual 2025'!C65,"n.d.")</f>
        <v>2922604</v>
      </c>
      <c r="D78" s="546">
        <f>IF(ISNUMBER('Mensual 2025'!D65),'Mensual 2025'!D65,"n.d.")</f>
        <v>2210972</v>
      </c>
      <c r="E78" s="546">
        <f>IF(ISNUMBER('Mensual 2025'!E65),'Mensual 2025'!E65,"n.d.")</f>
        <v>3218323</v>
      </c>
      <c r="F78" s="546">
        <f>IF(ISNUMBER('Mensual 2025'!F65),'Mensual 2025'!F65,"n.d.")</f>
        <v>5307576</v>
      </c>
      <c r="G78" s="546">
        <f>IF(ISNUMBER('Mensual 2025'!G65),'Mensual 2025'!G65,"n.d.")</f>
        <v>5232400</v>
      </c>
      <c r="H78" s="546">
        <f>IF(ISNUMBER('Mensual 2025'!H65),'Mensual 2025'!H65,"n.d.")</f>
        <v>8114183</v>
      </c>
      <c r="I78" s="546">
        <f>IF(ISNUMBER('Mensual 2025'!I65),'Mensual 2025'!I65,"n.d.")</f>
        <v>7775172</v>
      </c>
      <c r="J78" s="546">
        <f>IF(ISNUMBER('Mensual 2025'!J65),'Mensual 2025'!J65,"n.d.")</f>
        <v>6544497</v>
      </c>
      <c r="K78" s="546">
        <f>IF(ISNUMBER('Mensual 2025'!K65),'Mensual 2025'!K65,"n.d.")</f>
        <v>4105517</v>
      </c>
      <c r="L78" s="546">
        <f>IF(ISNUMBER('Mensual 2025'!L65),'Mensual 2025'!L65,"n.d.")</f>
        <v>7282309</v>
      </c>
      <c r="M78" s="546">
        <f>IF(ISNUMBER('Mensual 2025'!M65),'Mensual 2025'!M65,"n.d.")</f>
        <v>6538403</v>
      </c>
      <c r="N78" s="546">
        <f>IF(ISNUMBER('Mensual 2025'!N65),'Mensual 2025'!N65,"n.d.")</f>
        <v>4119495</v>
      </c>
      <c r="O78" s="548"/>
    </row>
    <row r="79" spans="1:15" ht="21.75" customHeight="1" x14ac:dyDescent="0.55000000000000004">
      <c r="A79" s="513" t="s">
        <v>468</v>
      </c>
      <c r="B79" s="513" t="s">
        <v>94</v>
      </c>
      <c r="C79" s="546">
        <f>IF(ISNUMBER('Mensual 2025'!C75),'Mensual 2025'!C75,"n.d.")</f>
        <v>6796230</v>
      </c>
      <c r="D79" s="546">
        <f>IF(ISNUMBER('Mensual 2025'!D75),'Mensual 2025'!D75,"n.d.")</f>
        <v>6456156</v>
      </c>
      <c r="E79" s="546">
        <f>IF(ISNUMBER('Mensual 2025'!E75),'Mensual 2025'!E75,"n.d.")</f>
        <v>6152916</v>
      </c>
      <c r="F79" s="546">
        <f>IF(ISNUMBER('Mensual 2025'!F75),'Mensual 2025'!F75,"n.d.")</f>
        <v>5487594</v>
      </c>
      <c r="G79" s="546">
        <f>IF(ISNUMBER('Mensual 2025'!G75),'Mensual 2025'!G75,"n.d.")</f>
        <v>6883422</v>
      </c>
      <c r="H79" s="546">
        <f>IF(ISNUMBER('Mensual 2025'!H75),'Mensual 2025'!H75,"n.d.")</f>
        <v>4579974</v>
      </c>
      <c r="I79" s="546">
        <f>IF(ISNUMBER('Mensual 2025'!I75),'Mensual 2025'!I75,"n.d.")</f>
        <v>5758242</v>
      </c>
      <c r="J79" s="546">
        <f>IF(ISNUMBER('Mensual 2025'!J75),'Mensual 2025'!J75,"n.d.")</f>
        <v>5941488</v>
      </c>
      <c r="K79" s="546">
        <f>IF(ISNUMBER('Mensual 2025'!K75),'Mensual 2025'!K75,"n.d.")</f>
        <v>5539548</v>
      </c>
      <c r="L79" s="546">
        <f>IF(ISNUMBER('Mensual 2025'!L75),'Mensual 2025'!L75,"n.d.")</f>
        <v>10261860</v>
      </c>
      <c r="M79" s="546">
        <f>IF(ISNUMBER('Mensual 2025'!M75),'Mensual 2025'!M75,"n.d.")</f>
        <v>7304640</v>
      </c>
      <c r="N79" s="546">
        <f>IF(ISNUMBER('Mensual 2025'!N75),'Mensual 2025'!N75,"n.d.")</f>
        <v>10813950</v>
      </c>
      <c r="O79" s="548"/>
    </row>
    <row r="80" spans="1:15" ht="21.75" customHeight="1" x14ac:dyDescent="0.55000000000000004">
      <c r="A80" s="513" t="s">
        <v>469</v>
      </c>
      <c r="B80" s="513" t="s">
        <v>94</v>
      </c>
      <c r="C80" s="546">
        <f>IF(ISNUMBER('Mensual 2025'!C77),'Mensual 2025'!C77,"n.d.")</f>
        <v>742918</v>
      </c>
      <c r="D80" s="546">
        <f>IF(ISNUMBER('Mensual 2025'!D77),'Mensual 2025'!D77,"n.d.")</f>
        <v>451625</v>
      </c>
      <c r="E80" s="546">
        <f>IF(ISNUMBER('Mensual 2025'!E77),'Mensual 2025'!E77,"n.d.")</f>
        <v>1088049.0009999999</v>
      </c>
      <c r="F80" s="546">
        <f>IF(ISNUMBER('Mensual 2025'!F77),'Mensual 2025'!F77,"n.d.")</f>
        <v>1226779</v>
      </c>
      <c r="G80" s="546">
        <f>IF(ISNUMBER('Mensual 2025'!G77),'Mensual 2025'!G77,"n.d.")</f>
        <v>357804</v>
      </c>
      <c r="H80" s="546">
        <f>IF(ISNUMBER('Mensual 2025'!H77),'Mensual 2025'!H77,"n.d.")</f>
        <v>399679</v>
      </c>
      <c r="I80" s="546">
        <f>IF(ISNUMBER('Mensual 2025'!I77),'Mensual 2025'!I77,"n.d.")</f>
        <v>682626</v>
      </c>
      <c r="J80" s="546">
        <f>IF(ISNUMBER('Mensual 2025'!J77),'Mensual 2025'!J77,"n.d.")</f>
        <v>413438</v>
      </c>
      <c r="K80" s="546">
        <f>IF(ISNUMBER('Mensual 2025'!K77),'Mensual 2025'!K77,"n.d.")</f>
        <v>221426</v>
      </c>
      <c r="L80" s="546">
        <f>IF(ISNUMBER('Mensual 2025'!L77),'Mensual 2025'!L77,"n.d.")</f>
        <v>575860</v>
      </c>
      <c r="M80" s="546">
        <f>IF(ISNUMBER('Mensual 2025'!M77),'Mensual 2025'!M77,"n.d.")</f>
        <v>432755</v>
      </c>
      <c r="N80" s="546">
        <f>IF(ISNUMBER('Mensual 2025'!N77),'Mensual 2025'!N77,"n.d.")</f>
        <v>275388</v>
      </c>
      <c r="O80" s="548"/>
    </row>
    <row r="81" spans="1:15" ht="21.75" customHeight="1" x14ac:dyDescent="0.55000000000000004">
      <c r="A81" s="513" t="s">
        <v>470</v>
      </c>
      <c r="B81" s="513" t="s">
        <v>94</v>
      </c>
      <c r="C81" s="546">
        <f>IF(ISNUMBER('Mensual 2025'!C79),'Mensual 2025'!C79,"n.d.")</f>
        <v>551902</v>
      </c>
      <c r="D81" s="546">
        <f>IF(ISNUMBER('Mensual 2025'!D79),'Mensual 2025'!D79,"n.d.")</f>
        <v>590029</v>
      </c>
      <c r="E81" s="546">
        <f>IF(ISNUMBER('Mensual 2025'!E79),'Mensual 2025'!E79,"n.d.")</f>
        <v>1844695</v>
      </c>
      <c r="F81" s="546">
        <f>IF(ISNUMBER('Mensual 2025'!F79),'Mensual 2025'!F79,"n.d.")</f>
        <v>2711027</v>
      </c>
      <c r="G81" s="546">
        <f>IF(ISNUMBER('Mensual 2025'!G79),'Mensual 2025'!G79,"n.d.")</f>
        <v>674583</v>
      </c>
      <c r="H81" s="546">
        <f>IF(ISNUMBER('Mensual 2025'!H79),'Mensual 2025'!H79,"n.d.")</f>
        <v>782907</v>
      </c>
      <c r="I81" s="546">
        <f>IF(ISNUMBER('Mensual 2025'!I79),'Mensual 2025'!I79,"n.d.")</f>
        <v>858732</v>
      </c>
      <c r="J81" s="546">
        <f>IF(ISNUMBER('Mensual 2025'!J79),'Mensual 2025'!J79,"n.d.")</f>
        <v>895979</v>
      </c>
      <c r="K81" s="546">
        <f>IF(ISNUMBER('Mensual 2025'!K79),'Mensual 2025'!K79,"n.d.")</f>
        <v>363056</v>
      </c>
      <c r="L81" s="546">
        <f>IF(ISNUMBER('Mensual 2025'!L79),'Mensual 2025'!L79,"n.d.")</f>
        <v>1193704</v>
      </c>
      <c r="M81" s="546">
        <f>IF(ISNUMBER('Mensual 2025'!M79),'Mensual 2025'!M79,"n.d.")</f>
        <v>923570</v>
      </c>
      <c r="N81" s="546">
        <f>IF(ISNUMBER('Mensual 2025'!N79),'Mensual 2025'!N79,"n.d.")</f>
        <v>607760</v>
      </c>
      <c r="O81" s="548"/>
    </row>
    <row r="82" spans="1:15" ht="21.75" customHeight="1" x14ac:dyDescent="0.55000000000000004">
      <c r="A82" s="513" t="s">
        <v>471</v>
      </c>
      <c r="B82" s="513" t="s">
        <v>74</v>
      </c>
      <c r="C82" s="551">
        <f>IF(ISNUMBER('Mensual 2025'!C80),'Mensual 2025'!C80,"n.d.")</f>
        <v>0</v>
      </c>
      <c r="D82" s="551">
        <f>IF(ISNUMBER('Mensual 2025'!D80),'Mensual 2025'!D80,"n.d.")</f>
        <v>0</v>
      </c>
      <c r="E82" s="551">
        <f>IF(ISNUMBER('Mensual 2025'!E80),'Mensual 2025'!E80,"n.d.")</f>
        <v>0</v>
      </c>
      <c r="F82" s="551">
        <f>IF(ISNUMBER('Mensual 2025'!F80),'Mensual 2025'!F80,"n.d.")</f>
        <v>0</v>
      </c>
      <c r="G82" s="551">
        <f>IF(ISNUMBER('Mensual 2025'!G80),'Mensual 2025'!G80,"n.d.")</f>
        <v>0</v>
      </c>
      <c r="H82" s="551">
        <f>IF(ISNUMBER('Mensual 2025'!H80),'Mensual 2025'!H80,"n.d.")</f>
        <v>0</v>
      </c>
      <c r="I82" s="551">
        <f>IF(ISNUMBER('Mensual 2025'!I80),'Mensual 2025'!I80,"n.d.")</f>
        <v>0</v>
      </c>
      <c r="J82" s="551">
        <f>IF(ISNUMBER('Mensual 2025'!J80),'Mensual 2025'!J80,"n.d.")</f>
        <v>0</v>
      </c>
      <c r="K82" s="551">
        <f>IF(ISNUMBER('Mensual 2025'!K80),'Mensual 2025'!K80,"n.d.")</f>
        <v>0</v>
      </c>
      <c r="L82" s="551">
        <f>IF(ISNUMBER('Mensual 2025'!L80),'Mensual 2025'!L80,"n.d.")</f>
        <v>0</v>
      </c>
      <c r="M82" s="551">
        <f>IF(ISNUMBER('Mensual 2025'!M80),'Mensual 2025'!M80,"n.d.")</f>
        <v>0</v>
      </c>
      <c r="N82" s="551">
        <f>IF(ISNUMBER('Mensual 2025'!N80),'Mensual 2025'!N80,"n.d.")</f>
        <v>0</v>
      </c>
      <c r="O82" s="548"/>
    </row>
    <row r="83" spans="1:15" ht="21.75" customHeight="1" x14ac:dyDescent="0.55000000000000004">
      <c r="A83" s="513" t="s">
        <v>472</v>
      </c>
      <c r="B83" s="513" t="s">
        <v>94</v>
      </c>
      <c r="C83" s="546">
        <f>IF(COUNT('Mensual 2025'!C91,'Mensual 2025'!C94)=2,SUM('Mensual 2025'!C91,'Mensual 2025'!C94),"n.d.")</f>
        <v>3312605.52</v>
      </c>
      <c r="D83" s="546">
        <f>IF(COUNT('Mensual 2025'!D91,'Mensual 2025'!D94)=2,SUM('Mensual 2025'!D91,'Mensual 2025'!D94),"n.d.")</f>
        <v>2723119.98</v>
      </c>
      <c r="E83" s="546">
        <f>IF(COUNT('Mensual 2025'!E91,'Mensual 2025'!E94)=2,SUM('Mensual 2025'!E91,'Mensual 2025'!E94),"n.d.")</f>
        <v>4221656.88</v>
      </c>
      <c r="F83" s="546">
        <f>IF(COUNT('Mensual 2025'!F91,'Mensual 2025'!F94)=2,SUM('Mensual 2025'!F91,'Mensual 2025'!F94),"n.d.")</f>
        <v>4747267.1399999997</v>
      </c>
      <c r="G83" s="546">
        <f>IF(COUNT('Mensual 2025'!G91,'Mensual 2025'!G94)=2,SUM('Mensual 2025'!G91,'Mensual 2025'!G94),"n.d.")</f>
        <v>1947388.38</v>
      </c>
      <c r="H83" s="546">
        <f>IF(COUNT('Mensual 2025'!H91,'Mensual 2025'!H94)=2,SUM('Mensual 2025'!H91,'Mensual 2025'!H94),"n.d.")</f>
        <v>1816398.7799999998</v>
      </c>
      <c r="I83" s="546">
        <f>IF(COUNT('Mensual 2025'!I91,'Mensual 2025'!I94)=2,SUM('Mensual 2025'!I91,'Mensual 2025'!I94),"n.d.")</f>
        <v>1925550.9</v>
      </c>
      <c r="J83" s="546">
        <f>IF(COUNT('Mensual 2025'!J91,'Mensual 2025'!J94)=2,SUM('Mensual 2025'!J91,'Mensual 2025'!J94),"n.d.")</f>
        <v>2106781.7400000002</v>
      </c>
      <c r="K83" s="546">
        <f>IF(COUNT('Mensual 2025'!K91,'Mensual 2025'!K94)=2,SUM('Mensual 2025'!K91,'Mensual 2025'!K94),"n.d.")</f>
        <v>1181405.4000000001</v>
      </c>
      <c r="L83" s="546">
        <f>IF(COUNT('Mensual 2025'!L91,'Mensual 2025'!L94)=2,SUM('Mensual 2025'!L91,'Mensual 2025'!L94),"n.d.")</f>
        <v>2423802.36</v>
      </c>
      <c r="M83" s="546">
        <f>IF(COUNT('Mensual 2025'!M91,'Mensual 2025'!M94)=2,SUM('Mensual 2025'!M91,'Mensual 2025'!M94),"n.d.")</f>
        <v>1069763.0999999999</v>
      </c>
      <c r="N83" s="546">
        <f>IF(COUNT('Mensual 2025'!N91,'Mensual 2025'!N94)=2,SUM('Mensual 2025'!N91,'Mensual 2025'!N94),"n.d.")</f>
        <v>431034.66</v>
      </c>
      <c r="O83" s="548"/>
    </row>
    <row r="84" spans="1:15" ht="21.75" customHeight="1" x14ac:dyDescent="0.55000000000000004">
      <c r="A84" s="513" t="s">
        <v>473</v>
      </c>
      <c r="B84" s="513" t="s">
        <v>94</v>
      </c>
      <c r="C84" s="546">
        <f>IF(COUNT('Mensual 2025'!C107,'Mensual 2025'!C109)=2,SUM('Mensual 2025'!C107,'Mensual 2025'!C109),"n.d.")</f>
        <v>365428.98</v>
      </c>
      <c r="D84" s="546">
        <f>IF(COUNT('Mensual 2025'!D107,'Mensual 2025'!D109)=2,SUM('Mensual 2025'!D107,'Mensual 2025'!D109),"n.d.")</f>
        <v>356372.94</v>
      </c>
      <c r="E84" s="546">
        <f>IF(COUNT('Mensual 2025'!E107,'Mensual 2025'!E109)=2,SUM('Mensual 2025'!E107,'Mensual 2025'!E109),"n.d.")</f>
        <v>733052.04</v>
      </c>
      <c r="F84" s="546">
        <f>IF(COUNT('Mensual 2025'!F107,'Mensual 2025'!F109)=2,SUM('Mensual 2025'!F107,'Mensual 2025'!F109),"n.d.")</f>
        <v>883060.91999999993</v>
      </c>
      <c r="G84" s="546">
        <f>IF(COUNT('Mensual 2025'!G107,'Mensual 2025'!G109)=2,SUM('Mensual 2025'!G107,'Mensual 2025'!G109),"n.d.")</f>
        <v>372348.9</v>
      </c>
      <c r="H84" s="546">
        <f>IF(COUNT('Mensual 2025'!H107,'Mensual 2025'!H109)=2,SUM('Mensual 2025'!H107,'Mensual 2025'!H109),"n.d.")</f>
        <v>621287.93999999994</v>
      </c>
      <c r="I84" s="546">
        <f>IF(COUNT('Mensual 2025'!I107,'Mensual 2025'!I109)=2,SUM('Mensual 2025'!I107,'Mensual 2025'!I109),"n.d.")</f>
        <v>374763.48000000004</v>
      </c>
      <c r="J84" s="546">
        <f>IF(COUNT('Mensual 2025'!J107,'Mensual 2025'!J109)=2,SUM('Mensual 2025'!J107,'Mensual 2025'!J109),"n.d.")</f>
        <v>619138.38000000012</v>
      </c>
      <c r="K84" s="546">
        <f>IF(COUNT('Mensual 2025'!K107,'Mensual 2025'!K109)=2,SUM('Mensual 2025'!K107,'Mensual 2025'!K109),"n.d.")</f>
        <v>375350.22</v>
      </c>
      <c r="L84" s="546">
        <f>IF(COUNT('Mensual 2025'!L107,'Mensual 2025'!L109)=2,SUM('Mensual 2025'!L107,'Mensual 2025'!L109),"n.d.")</f>
        <v>906689.28</v>
      </c>
      <c r="M84" s="546">
        <f>IF(COUNT('Mensual 2025'!M107,'Mensual 2025'!M109)=2,SUM('Mensual 2025'!M107,'Mensual 2025'!M109),"n.d.")</f>
        <v>580933.08000000007</v>
      </c>
      <c r="N84" s="546">
        <f>IF(COUNT('Mensual 2025'!N107,'Mensual 2025'!N109)=2,SUM('Mensual 2025'!N107,'Mensual 2025'!N109),"n.d.")</f>
        <v>349501.74</v>
      </c>
      <c r="O84" s="548"/>
    </row>
    <row r="85" spans="1:15" ht="21.75" customHeight="1" x14ac:dyDescent="0.55000000000000004">
      <c r="A85" s="513" t="s">
        <v>474</v>
      </c>
      <c r="B85" s="513" t="s">
        <v>94</v>
      </c>
      <c r="C85" s="546">
        <f>IF(COUNT('Mensual 2025'!C119,'Mensual 2025'!C121)=2,SUM('Mensual 2025'!C119,'Mensual 2025'!C121),"n.d.")</f>
        <v>178983</v>
      </c>
      <c r="D85" s="546">
        <f>IF(COUNT('Mensual 2025'!D119,'Mensual 2025'!D121)=2,SUM('Mensual 2025'!D119,'Mensual 2025'!D121),"n.d.")</f>
        <v>126033.18</v>
      </c>
      <c r="E85" s="546">
        <f>IF(COUNT('Mensual 2025'!E119,'Mensual 2025'!E121)=2,SUM('Mensual 2025'!E119,'Mensual 2025'!E121),"n.d.")</f>
        <v>298599</v>
      </c>
      <c r="F85" s="546">
        <f>IF(COUNT('Mensual 2025'!F119,'Mensual 2025'!F121)=2,SUM('Mensual 2025'!F119,'Mensual 2025'!F121),"n.d.")</f>
        <v>383832.12</v>
      </c>
      <c r="G85" s="546">
        <f>IF(COUNT('Mensual 2025'!G119,'Mensual 2025'!G121)=2,SUM('Mensual 2025'!G119,'Mensual 2025'!G121),"n.d.")</f>
        <v>159124.98000000001</v>
      </c>
      <c r="H85" s="546">
        <f>IF(COUNT('Mensual 2025'!H119,'Mensual 2025'!H121)=2,SUM('Mensual 2025'!H119,'Mensual 2025'!H121),"n.d.")</f>
        <v>225537.06</v>
      </c>
      <c r="I85" s="546">
        <f>IF(COUNT('Mensual 2025'!I119,'Mensual 2025'!I121)=2,SUM('Mensual 2025'!I119,'Mensual 2025'!I121),"n.d.")</f>
        <v>213365.88</v>
      </c>
      <c r="J85" s="546">
        <f>IF(COUNT('Mensual 2025'!J119,'Mensual 2025'!J121)=2,SUM('Mensual 2025'!J119,'Mensual 2025'!J121),"n.d.")</f>
        <v>306688.2</v>
      </c>
      <c r="K85" s="546">
        <f>IF(COUNT('Mensual 2025'!K119,'Mensual 2025'!K121)=2,SUM('Mensual 2025'!K119,'Mensual 2025'!K121),"n.d.")</f>
        <v>123566.1</v>
      </c>
      <c r="L85" s="546">
        <f>IF(COUNT('Mensual 2025'!L119,'Mensual 2025'!L121)=2,SUM('Mensual 2025'!L119,'Mensual 2025'!L121),"n.d.")</f>
        <v>410912.88</v>
      </c>
      <c r="M85" s="546">
        <f>IF(COUNT('Mensual 2025'!M119,'Mensual 2025'!M121)=2,SUM('Mensual 2025'!M119,'Mensual 2025'!M121),"n.d.")</f>
        <v>338642.64</v>
      </c>
      <c r="N85" s="546">
        <f>IF(COUNT('Mensual 2025'!N119,'Mensual 2025'!N121)=2,SUM('Mensual 2025'!N119,'Mensual 2025'!N121),"n.d.")</f>
        <v>185982.72</v>
      </c>
      <c r="O85" s="548"/>
    </row>
    <row r="86" spans="1:15" ht="21.75" customHeight="1" x14ac:dyDescent="0.55000000000000004">
      <c r="A86" s="513" t="s">
        <v>475</v>
      </c>
      <c r="B86" s="513" t="s">
        <v>94</v>
      </c>
      <c r="C86" s="546">
        <f>IF(COUNT('Mensual 2025'!C131,'Mensual 2025'!C133)=2,SUM('Mensual 2025'!C131,'Mensual 2025'!C133),"n.d.")</f>
        <v>0</v>
      </c>
      <c r="D86" s="546">
        <f>IF(COUNT('Mensual 2025'!D131,'Mensual 2025'!D133)=2,SUM('Mensual 2025'!D131,'Mensual 2025'!D133),"n.d.")</f>
        <v>0</v>
      </c>
      <c r="E86" s="546">
        <f>IF(COUNT('Mensual 2025'!E131,'Mensual 2025'!E133)=2,SUM('Mensual 2025'!E131,'Mensual 2025'!E133),"n.d.")</f>
        <v>0</v>
      </c>
      <c r="F86" s="546">
        <f>IF(COUNT('Mensual 2025'!F131,'Mensual 2025'!F133)=2,SUM('Mensual 2025'!F131,'Mensual 2025'!F133),"n.d.")</f>
        <v>0</v>
      </c>
      <c r="G86" s="546">
        <f>IF(COUNT('Mensual 2025'!G131,'Mensual 2025'!G133)=2,SUM('Mensual 2025'!G131,'Mensual 2025'!G133),"n.d.")</f>
        <v>0</v>
      </c>
      <c r="H86" s="546">
        <f>IF(COUNT('Mensual 2025'!H131,'Mensual 2025'!H133)=2,SUM('Mensual 2025'!H131,'Mensual 2025'!H133),"n.d.")</f>
        <v>0</v>
      </c>
      <c r="I86" s="546">
        <f>IF(COUNT('Mensual 2025'!I131,'Mensual 2025'!I133)=2,SUM('Mensual 2025'!I131,'Mensual 2025'!I133),"n.d.")</f>
        <v>0</v>
      </c>
      <c r="J86" s="546">
        <f>IF(COUNT('Mensual 2025'!J131,'Mensual 2025'!J133)=2,SUM('Mensual 2025'!J131,'Mensual 2025'!J133),"n.d.")</f>
        <v>0</v>
      </c>
      <c r="K86" s="546">
        <f>IF(COUNT('Mensual 2025'!K131,'Mensual 2025'!K133)=2,SUM('Mensual 2025'!K131,'Mensual 2025'!K133),"n.d.")</f>
        <v>0</v>
      </c>
      <c r="L86" s="546">
        <f>IF(COUNT('Mensual 2025'!L131,'Mensual 2025'!L133)=2,SUM('Mensual 2025'!L131,'Mensual 2025'!L133),"n.d.")</f>
        <v>0</v>
      </c>
      <c r="M86" s="546">
        <f>IF(COUNT('Mensual 2025'!M131,'Mensual 2025'!M133)=2,SUM('Mensual 2025'!M131,'Mensual 2025'!M133),"n.d.")</f>
        <v>0</v>
      </c>
      <c r="N86" s="546">
        <f>IF(COUNT('Mensual 2025'!N131,'Mensual 2025'!N133)=2,SUM('Mensual 2025'!N131,'Mensual 2025'!N133),"n.d.")</f>
        <v>0</v>
      </c>
      <c r="O86" s="548"/>
    </row>
    <row r="87" spans="1:15" ht="21.75" customHeight="1" x14ac:dyDescent="0.55000000000000004">
      <c r="A87" s="513" t="s">
        <v>476</v>
      </c>
      <c r="B87" s="513" t="s">
        <v>94</v>
      </c>
      <c r="C87" s="546">
        <f>IF(COUNT('Mensual 2025'!C143,'Mensual 2025'!C145)=2,SUM('Mensual 2025'!C143,'Mensual 2025'!C145),"n.d.")</f>
        <v>196440.3</v>
      </c>
      <c r="D87" s="546">
        <f>IF(COUNT('Mensual 2025'!D143,'Mensual 2025'!D145)=2,SUM('Mensual 2025'!D143,'Mensual 2025'!D145),"n.d.")</f>
        <v>141410.64000000001</v>
      </c>
      <c r="E87" s="546">
        <f>IF(COUNT('Mensual 2025'!E143,'Mensual 2025'!E145)=2,SUM('Mensual 2025'!E143,'Mensual 2025'!E145),"n.d.")</f>
        <v>395277.95999999996</v>
      </c>
      <c r="F87" s="546">
        <f>IF(COUNT('Mensual 2025'!F143,'Mensual 2025'!F145)=2,SUM('Mensual 2025'!F143,'Mensual 2025'!F145),"n.d.")</f>
        <v>575966.16</v>
      </c>
      <c r="G87" s="546">
        <f>IF(COUNT('Mensual 2025'!G143,'Mensual 2025'!G145)=2,SUM('Mensual 2025'!G143,'Mensual 2025'!G145),"n.d.")</f>
        <v>215979.96</v>
      </c>
      <c r="H87" s="546">
        <f>IF(COUNT('Mensual 2025'!H143,'Mensual 2025'!H145)=2,SUM('Mensual 2025'!H143,'Mensual 2025'!H145),"n.d.")</f>
        <v>344373.95999999996</v>
      </c>
      <c r="I87" s="546">
        <f>IF(COUNT('Mensual 2025'!I143,'Mensual 2025'!I145)=2,SUM('Mensual 2025'!I143,'Mensual 2025'!I145),"n.d.")</f>
        <v>369412.26</v>
      </c>
      <c r="J87" s="546">
        <f>IF(COUNT('Mensual 2025'!J143,'Mensual 2025'!J145)=2,SUM('Mensual 2025'!J143,'Mensual 2025'!J145),"n.d.")</f>
        <v>347864.16</v>
      </c>
      <c r="K87" s="546">
        <f>IF(COUNT('Mensual 2025'!K143,'Mensual 2025'!K145)=2,SUM('Mensual 2025'!K143,'Mensual 2025'!K145),"n.d.")</f>
        <v>158850.72</v>
      </c>
      <c r="L87" s="546">
        <f>IF(COUNT('Mensual 2025'!L143,'Mensual 2025'!L145)=2,SUM('Mensual 2025'!L143,'Mensual 2025'!L145),"n.d.")</f>
        <v>547344</v>
      </c>
      <c r="M87" s="546">
        <f>IF(COUNT('Mensual 2025'!M143,'Mensual 2025'!M145)=2,SUM('Mensual 2025'!M143,'Mensual 2025'!M145),"n.d.")</f>
        <v>399031.5</v>
      </c>
      <c r="N87" s="546">
        <f>IF(COUNT('Mensual 2025'!N143,'Mensual 2025'!N145)=2,SUM('Mensual 2025'!N143,'Mensual 2025'!N145),"n.d.")</f>
        <v>40307.82</v>
      </c>
      <c r="O87" s="548"/>
    </row>
    <row r="88" spans="1:15" ht="21.75" customHeight="1" x14ac:dyDescent="0.55000000000000004">
      <c r="A88" s="513" t="s">
        <v>477</v>
      </c>
      <c r="B88" s="513" t="s">
        <v>94</v>
      </c>
      <c r="C88" s="546">
        <f>IF(COUNT('Mensual 2025'!C155,'Mensual 2025'!C157,'Mensual 2025'!C159,'Mensual 2025'!C161)=4,SUM('Mensual 2025'!C155,'Mensual 2025'!C157,'Mensual 2025'!C159,'Mensual 2025'!C161),"n.d.")</f>
        <v>3340040.34</v>
      </c>
      <c r="D88" s="546">
        <f>IF(COUNT('Mensual 2025'!D155,'Mensual 2025'!D157,'Mensual 2025'!D159,'Mensual 2025'!D161)=4,SUM('Mensual 2025'!D155,'Mensual 2025'!D157,'Mensual 2025'!D159,'Mensual 2025'!D161),"n.d.")</f>
        <v>1451488.0799999998</v>
      </c>
      <c r="E88" s="546">
        <f>IF(COUNT('Mensual 2025'!E155,'Mensual 2025'!E157,'Mensual 2025'!E159,'Mensual 2025'!E161)=4,SUM('Mensual 2025'!E155,'Mensual 2025'!E157,'Mensual 2025'!E159,'Mensual 2025'!E161),"n.d.")</f>
        <v>1714708.38</v>
      </c>
      <c r="F88" s="546">
        <f>IF(COUNT('Mensual 2025'!F155,'Mensual 2025'!F157,'Mensual 2025'!F159,'Mensual 2025'!F161)=4,SUM('Mensual 2025'!F155,'Mensual 2025'!F157,'Mensual 2025'!F159,'Mensual 2025'!F161),"n.d.")</f>
        <v>1671537.42</v>
      </c>
      <c r="G88" s="546">
        <f>IF(COUNT('Mensual 2025'!G155,'Mensual 2025'!G157,'Mensual 2025'!G159,'Mensual 2025'!G161)=4,SUM('Mensual 2025'!G155,'Mensual 2025'!G157,'Mensual 2025'!G159,'Mensual 2025'!G161),"n.d.")</f>
        <v>429265.2</v>
      </c>
      <c r="H88" s="546">
        <f>IF(COUNT('Mensual 2025'!H155,'Mensual 2025'!H157,'Mensual 2025'!H159,'Mensual 2025'!H161)=4,SUM('Mensual 2025'!H155,'Mensual 2025'!H157,'Mensual 2025'!H159,'Mensual 2025'!H161),"n.d.")</f>
        <v>605666.46</v>
      </c>
      <c r="I88" s="546">
        <f>IF(COUNT('Mensual 2025'!I155,'Mensual 2025'!I157,'Mensual 2025'!I159,'Mensual 2025'!I161)=4,SUM('Mensual 2025'!I155,'Mensual 2025'!I157,'Mensual 2025'!I159,'Mensual 2025'!I161),"n.d.")</f>
        <v>420521.22</v>
      </c>
      <c r="J88" s="546">
        <f>IF(COUNT('Mensual 2025'!J155,'Mensual 2025'!J157,'Mensual 2025'!J159,'Mensual 2025'!J161)=4,SUM('Mensual 2025'!J155,'Mensual 2025'!J157,'Mensual 2025'!J159,'Mensual 2025'!J161),"n.d.")</f>
        <v>409827.18</v>
      </c>
      <c r="K88" s="546">
        <f>IF(COUNT('Mensual 2025'!K155,'Mensual 2025'!K157,'Mensual 2025'!K159,'Mensual 2025'!K161)=4,SUM('Mensual 2025'!K155,'Mensual 2025'!K157,'Mensual 2025'!K159,'Mensual 2025'!K161),"n.d.")</f>
        <v>146320.44</v>
      </c>
      <c r="L88" s="546">
        <f>IF(COUNT('Mensual 2025'!L155,'Mensual 2025'!L157,'Mensual 2025'!L159,'Mensual 2025'!L161)=4,SUM('Mensual 2025'!L155,'Mensual 2025'!L157,'Mensual 2025'!L159,'Mensual 2025'!L161),"n.d.")</f>
        <v>489190.80000000005</v>
      </c>
      <c r="M88" s="546">
        <f>IF(COUNT('Mensual 2025'!M155,'Mensual 2025'!M157,'Mensual 2025'!M159,'Mensual 2025'!M161)=4,SUM('Mensual 2025'!M155,'Mensual 2025'!M157,'Mensual 2025'!M159,'Mensual 2025'!M161),"n.d.")</f>
        <v>471760.80000000005</v>
      </c>
      <c r="N88" s="546">
        <f>IF(COUNT('Mensual 2025'!N155,'Mensual 2025'!N157,'Mensual 2025'!N159,'Mensual 2025'!N161)=4,SUM('Mensual 2025'!N155,'Mensual 2025'!N157,'Mensual 2025'!N159,'Mensual 2025'!N161),"n.d.")</f>
        <v>906145.38</v>
      </c>
      <c r="O88" s="548"/>
    </row>
    <row r="89" spans="1:15" ht="21.75" customHeight="1" x14ac:dyDescent="0.55000000000000004">
      <c r="A89" s="513"/>
      <c r="B89" s="513"/>
      <c r="C89" s="548"/>
      <c r="D89" s="548"/>
      <c r="E89" s="548"/>
      <c r="F89" s="548"/>
      <c r="G89" s="548"/>
      <c r="H89" s="548"/>
      <c r="I89" s="548"/>
      <c r="J89" s="548"/>
      <c r="K89" s="548"/>
      <c r="L89" s="548"/>
      <c r="M89" s="548"/>
      <c r="N89" s="548"/>
      <c r="O89" s="548"/>
    </row>
    <row r="90" spans="1:15" ht="21.75" customHeight="1" x14ac:dyDescent="0.55000000000000004">
      <c r="A90" s="513"/>
      <c r="B90" s="513"/>
      <c r="C90" s="548"/>
      <c r="D90" s="548"/>
      <c r="E90" s="548"/>
      <c r="F90" s="548"/>
      <c r="G90" s="548"/>
      <c r="H90" s="548"/>
      <c r="I90" s="548"/>
      <c r="J90" s="548"/>
      <c r="K90" s="548"/>
      <c r="L90" s="548"/>
      <c r="M90" s="548"/>
      <c r="N90" s="548"/>
      <c r="O90" s="548"/>
    </row>
    <row r="91" spans="1:15" ht="31.5" customHeight="1" x14ac:dyDescent="0.55000000000000004">
      <c r="A91" s="610" t="s">
        <v>478</v>
      </c>
      <c r="B91" s="610"/>
      <c r="C91" s="545"/>
      <c r="D91" s="545"/>
      <c r="E91" s="545"/>
      <c r="F91" s="545"/>
      <c r="G91" s="545"/>
      <c r="H91" s="545"/>
      <c r="I91" s="545"/>
      <c r="J91" s="545"/>
      <c r="K91" s="545"/>
      <c r="L91" s="545"/>
      <c r="M91" s="545"/>
      <c r="N91" s="545"/>
      <c r="O91" s="545"/>
    </row>
    <row r="92" spans="1:15" ht="37.5" customHeight="1" x14ac:dyDescent="0.55000000000000004">
      <c r="A92" s="539" t="s">
        <v>375</v>
      </c>
      <c r="B92" s="539" t="s">
        <v>376</v>
      </c>
      <c r="C92" s="539" t="s">
        <v>427</v>
      </c>
      <c r="D92" s="539" t="s">
        <v>428</v>
      </c>
      <c r="E92" s="539" t="s">
        <v>429</v>
      </c>
      <c r="F92" s="539" t="s">
        <v>430</v>
      </c>
      <c r="G92" s="539" t="s">
        <v>5</v>
      </c>
      <c r="H92" s="539" t="s">
        <v>431</v>
      </c>
      <c r="I92" s="539" t="s">
        <v>432</v>
      </c>
      <c r="J92" s="539" t="s">
        <v>433</v>
      </c>
      <c r="K92" s="539" t="s">
        <v>434</v>
      </c>
      <c r="L92" s="539" t="s">
        <v>435</v>
      </c>
      <c r="M92" s="539" t="s">
        <v>436</v>
      </c>
      <c r="N92" s="539" t="s">
        <v>437</v>
      </c>
      <c r="O92" s="539"/>
    </row>
    <row r="93" spans="1:15" ht="21.75" customHeight="1" x14ac:dyDescent="0.55000000000000004">
      <c r="A93" s="513" t="s">
        <v>456</v>
      </c>
      <c r="B93" s="513" t="s">
        <v>479</v>
      </c>
      <c r="C93" s="553">
        <f>IF(ISNUMBER('CS 5'!E20),'CS 5'!E20,"n.d.")</f>
        <v>0.15</v>
      </c>
      <c r="D93" s="553">
        <f>IF(ISNUMBER('CS 5'!E20),'CS 5'!E20,"n.d.")</f>
        <v>0.15</v>
      </c>
      <c r="E93" s="553">
        <f>IF(ISNUMBER('CS 5'!E20),'CS 5'!E20,"n.d.")</f>
        <v>0.15</v>
      </c>
      <c r="F93" s="553">
        <f>IF(ISNUMBER('CS 5'!E20),'CS 5'!E20,"n.d.")</f>
        <v>0.15</v>
      </c>
      <c r="G93" s="553">
        <f>IF(ISNUMBER('CS 5'!E20),'CS 5'!E20,"n.d.")</f>
        <v>0.15</v>
      </c>
      <c r="H93" s="553">
        <f>IF(ISNUMBER('CS 5'!E20),'CS 5'!E20,"n.d.")</f>
        <v>0.15</v>
      </c>
      <c r="I93" s="553">
        <f>IF(ISNUMBER('CS 5'!E20),'CS 5'!E20,"n.d.")</f>
        <v>0.15</v>
      </c>
      <c r="J93" s="553">
        <f>IF(ISNUMBER('CS 5'!E20),'CS 5'!E20,"n.d.")</f>
        <v>0.15</v>
      </c>
      <c r="K93" s="553">
        <f>IF(ISNUMBER('CS 5'!E20),'CS 5'!E20,"n.d.")</f>
        <v>0.15</v>
      </c>
      <c r="L93" s="553">
        <f>IF(ISNUMBER('CS 5'!E20),'CS 5'!E20,"n.d.")</f>
        <v>0.15</v>
      </c>
      <c r="M93" s="553">
        <f>IF(ISNUMBER('CS 5'!E20),'CS 5'!E20,"n.d.")</f>
        <v>0.15</v>
      </c>
      <c r="N93" s="553">
        <f>IF(ISNUMBER('CS 5'!E20),'CS 5'!E20,"n.d.")</f>
        <v>0.15</v>
      </c>
      <c r="O93" s="548"/>
    </row>
    <row r="94" spans="1:15" ht="21.75" customHeight="1" x14ac:dyDescent="0.55000000000000004">
      <c r="A94" s="513" t="s">
        <v>457</v>
      </c>
      <c r="B94" s="513" t="s">
        <v>480</v>
      </c>
      <c r="C94" s="546">
        <f>IF(ISNUMBER('CS 5'!O20),'CS 5'!O20,"n.d.")</f>
        <v>1040</v>
      </c>
      <c r="D94" s="546">
        <f>IF(ISNUMBER('CS 5'!O20),'CS 5'!O20,"n.d.")</f>
        <v>1040</v>
      </c>
      <c r="E94" s="546">
        <f>IF(ISNUMBER('CS 5'!O20),'CS 5'!O20,"n.d.")</f>
        <v>1040</v>
      </c>
      <c r="F94" s="546">
        <f>IF(ISNUMBER('CS 5'!O20),'CS 5'!O20,"n.d.")</f>
        <v>1040</v>
      </c>
      <c r="G94" s="546">
        <f>IF(ISNUMBER('CS 5'!O20),'CS 5'!O20,"n.d.")</f>
        <v>1040</v>
      </c>
      <c r="H94" s="546">
        <f>IF(ISNUMBER('CS 5'!O20),'CS 5'!O20,"n.d.")</f>
        <v>1040</v>
      </c>
      <c r="I94" s="546">
        <f>IF(ISNUMBER('CS 5'!O20),'CS 5'!O20,"n.d.")</f>
        <v>1040</v>
      </c>
      <c r="J94" s="546">
        <f>IF(ISNUMBER('CS 5'!O20),'CS 5'!O20,"n.d.")</f>
        <v>1040</v>
      </c>
      <c r="K94" s="546">
        <f>IF(ISNUMBER('CS 5'!O20),'CS 5'!O20,"n.d.")</f>
        <v>1040</v>
      </c>
      <c r="L94" s="546">
        <f>IF(ISNUMBER('CS 5'!O20),'CS 5'!O20,"n.d.")</f>
        <v>1040</v>
      </c>
      <c r="M94" s="546">
        <f>IF(ISNUMBER('CS 5'!O20),'CS 5'!O20,"n.d.")</f>
        <v>1040</v>
      </c>
      <c r="N94" s="546">
        <f>IF(ISNUMBER('CS 5'!O20),'CS 5'!O20,"n.d.")</f>
        <v>1040</v>
      </c>
      <c r="O94" s="548"/>
    </row>
    <row r="95" spans="1:15" ht="21.75" customHeight="1" x14ac:dyDescent="0.55000000000000004">
      <c r="A95" s="513" t="s">
        <v>458</v>
      </c>
      <c r="B95" s="513" t="s">
        <v>479</v>
      </c>
      <c r="C95" s="553">
        <f>IF(ISNUMBER('CS 6'!E20),'CS 6'!E20,"n.d.")</f>
        <v>0.15</v>
      </c>
      <c r="D95" s="553">
        <f>IF(ISNUMBER('CS 6'!E20),'CS 6'!E20,"n.d.")</f>
        <v>0.15</v>
      </c>
      <c r="E95" s="553">
        <f>IF(ISNUMBER('CS 6'!E20),'CS 6'!E20,"n.d.")</f>
        <v>0.15</v>
      </c>
      <c r="F95" s="553">
        <f>IF(ISNUMBER('CS 6'!E20),'CS 6'!E20,"n.d.")</f>
        <v>0.15</v>
      </c>
      <c r="G95" s="553">
        <f>IF(ISNUMBER('CS 6'!E20),'CS 6'!E20,"n.d.")</f>
        <v>0.15</v>
      </c>
      <c r="H95" s="553">
        <f>IF(ISNUMBER('CS 6'!E20),'CS 6'!E20,"n.d.")</f>
        <v>0.15</v>
      </c>
      <c r="I95" s="553">
        <f>IF(ISNUMBER('CS 6'!E20),'CS 6'!E20,"n.d.")</f>
        <v>0.15</v>
      </c>
      <c r="J95" s="553">
        <f>IF(ISNUMBER('CS 6'!E20),'CS 6'!E20,"n.d.")</f>
        <v>0.15</v>
      </c>
      <c r="K95" s="553">
        <f>IF(ISNUMBER('CS 6'!E20),'CS 6'!E20,"n.d.")</f>
        <v>0.15</v>
      </c>
      <c r="L95" s="553">
        <f>IF(ISNUMBER('CS 6'!E20),'CS 6'!E20,"n.d.")</f>
        <v>0.15</v>
      </c>
      <c r="M95" s="553">
        <f>IF(ISNUMBER('CS 6'!E20),'CS 6'!E20,"n.d.")</f>
        <v>0.15</v>
      </c>
      <c r="N95" s="553">
        <f>IF(ISNUMBER('CS 6'!E20),'CS 6'!E20,"n.d.")</f>
        <v>0.15</v>
      </c>
      <c r="O95" s="548"/>
    </row>
    <row r="96" spans="1:15" ht="21.75" customHeight="1" x14ac:dyDescent="0.55000000000000004">
      <c r="A96" s="513" t="s">
        <v>459</v>
      </c>
      <c r="B96" s="513" t="s">
        <v>480</v>
      </c>
      <c r="C96" s="546">
        <f>IF(ISNUMBER('CS 6'!O20),'CS 6'!O20,"n.d.")</f>
        <v>1040</v>
      </c>
      <c r="D96" s="546">
        <f>IF(ISNUMBER('CS 6'!O20),'CS 6'!O20,"n.d.")</f>
        <v>1040</v>
      </c>
      <c r="E96" s="546">
        <f>IF(ISNUMBER('CS 6'!O20),'CS 6'!O20,"n.d.")</f>
        <v>1040</v>
      </c>
      <c r="F96" s="546">
        <f>IF(ISNUMBER('CS 6'!O20),'CS 6'!O20,"n.d.")</f>
        <v>1040</v>
      </c>
      <c r="G96" s="546">
        <f>IF(ISNUMBER('CS 6'!O20),'CS 6'!O20,"n.d.")</f>
        <v>1040</v>
      </c>
      <c r="H96" s="546">
        <f>IF(ISNUMBER('CS 6'!O20),'CS 6'!O20,"n.d.")</f>
        <v>1040</v>
      </c>
      <c r="I96" s="546">
        <f>IF(ISNUMBER('CS 6'!O20),'CS 6'!O20,"n.d.")</f>
        <v>1040</v>
      </c>
      <c r="J96" s="546">
        <f>IF(ISNUMBER('CS 6'!O20),'CS 6'!O20,"n.d.")</f>
        <v>1040</v>
      </c>
      <c r="K96" s="546">
        <f>IF(ISNUMBER('CS 6'!O20),'CS 6'!O20,"n.d.")</f>
        <v>1040</v>
      </c>
      <c r="L96" s="546">
        <f>IF(ISNUMBER('CS 6'!O20),'CS 6'!O20,"n.d.")</f>
        <v>1040</v>
      </c>
      <c r="M96" s="546">
        <f>IF(ISNUMBER('CS 6'!O20),'CS 6'!O20,"n.d.")</f>
        <v>1040</v>
      </c>
      <c r="N96" s="546">
        <f>IF(ISNUMBER('CS 6'!O20),'CS 6'!O20,"n.d.")</f>
        <v>1040</v>
      </c>
      <c r="O96" s="548"/>
    </row>
    <row r="97" spans="1:15" ht="21.75" customHeight="1" x14ac:dyDescent="0.55000000000000004">
      <c r="A97" s="513" t="s">
        <v>460</v>
      </c>
      <c r="B97" s="513" t="s">
        <v>479</v>
      </c>
      <c r="C97" s="553">
        <f>IF(ISNUMBER('Turbinas CS'!G19),'Turbinas CS'!G19,"n.d.")</f>
        <v>0.13800000000000001</v>
      </c>
      <c r="D97" s="553">
        <f>IF(ISNUMBER('Turbinas CS'!G19),'Turbinas CS'!G19,"n.d.")</f>
        <v>0.13800000000000001</v>
      </c>
      <c r="E97" s="553">
        <f>IF(ISNUMBER('Turbinas CS'!G19),'Turbinas CS'!G19,"n.d.")</f>
        <v>0.13800000000000001</v>
      </c>
      <c r="F97" s="553">
        <f>IF(ISNUMBER('Turbinas CS'!G19),'Turbinas CS'!G19,"n.d.")</f>
        <v>0.13800000000000001</v>
      </c>
      <c r="G97" s="553">
        <f>IF(ISNUMBER('Turbinas CS'!G19),'Turbinas CS'!G19,"n.d.")</f>
        <v>0.13800000000000001</v>
      </c>
      <c r="H97" s="553">
        <f>IF(ISNUMBER('Turbinas CS'!G19),'Turbinas CS'!G19,"n.d.")</f>
        <v>0.13800000000000001</v>
      </c>
      <c r="I97" s="553">
        <f>IF(ISNUMBER('Turbinas CS'!G19),'Turbinas CS'!G19,"n.d.")</f>
        <v>0.13800000000000001</v>
      </c>
      <c r="J97" s="553">
        <f>IF(ISNUMBER('Turbinas CS'!G19),'Turbinas CS'!G19,"n.d.")</f>
        <v>0.13800000000000001</v>
      </c>
      <c r="K97" s="553">
        <f>IF(ISNUMBER('Turbinas CS'!G19),'Turbinas CS'!G19,"n.d.")</f>
        <v>0.13800000000000001</v>
      </c>
      <c r="L97" s="553">
        <f>IF(ISNUMBER('Turbinas CS'!G19),'Turbinas CS'!G19,"n.d.")</f>
        <v>0.13800000000000001</v>
      </c>
      <c r="M97" s="553">
        <f>IF(ISNUMBER('Turbinas CS'!G19),'Turbinas CS'!G19,"n.d.")</f>
        <v>0.13800000000000001</v>
      </c>
      <c r="N97" s="553">
        <f>IF(ISNUMBER('Turbinas CS'!G19),'Turbinas CS'!G19,"n.d.")</f>
        <v>0.13800000000000001</v>
      </c>
      <c r="O97" s="548"/>
    </row>
    <row r="98" spans="1:15" ht="21.75" customHeight="1" x14ac:dyDescent="0.55000000000000004">
      <c r="A98" s="513" t="s">
        <v>461</v>
      </c>
      <c r="B98" s="513" t="s">
        <v>479</v>
      </c>
      <c r="C98" s="553">
        <f>IF(ISNUMBER('Cálculos SJ'!H31),'Cálculos SJ'!H31,"n.d.")</f>
        <v>0.15</v>
      </c>
      <c r="D98" s="553">
        <f>IF(ISNUMBER('Cálculos SJ'!H31),'Cálculos SJ'!H31,"n.d.")</f>
        <v>0.15</v>
      </c>
      <c r="E98" s="553">
        <f>IF(ISNUMBER('Cálculos SJ'!H31),'Cálculos SJ'!H31,"n.d.")</f>
        <v>0.15</v>
      </c>
      <c r="F98" s="553">
        <f>IF(ISNUMBER('Cálculos SJ'!H31),'Cálculos SJ'!H31,"n.d.")</f>
        <v>0.15</v>
      </c>
      <c r="G98" s="553">
        <f>IF(ISNUMBER('Cálculos SJ'!H31),'Cálculos SJ'!H31,"n.d.")</f>
        <v>0.15</v>
      </c>
      <c r="H98" s="553">
        <f>IF(ISNUMBER('Cálculos SJ'!H31),'Cálculos SJ'!H31,"n.d.")</f>
        <v>0.15</v>
      </c>
      <c r="I98" s="553">
        <f>IF(ISNUMBER('Cálculos SJ'!H31),'Cálculos SJ'!H31,"n.d.")</f>
        <v>0.15</v>
      </c>
      <c r="J98" s="553">
        <f>IF(ISNUMBER('Cálculos SJ'!H31),'Cálculos SJ'!H31,"n.d.")</f>
        <v>0.15</v>
      </c>
      <c r="K98" s="553">
        <f>IF(ISNUMBER('Cálculos SJ'!H31),'Cálculos SJ'!H31,"n.d.")</f>
        <v>0.15</v>
      </c>
      <c r="L98" s="553">
        <f>IF(ISNUMBER('Cálculos SJ'!H31),'Cálculos SJ'!H31,"n.d.")</f>
        <v>0.15</v>
      </c>
      <c r="M98" s="553">
        <f>IF(ISNUMBER('Cálculos SJ'!H31),'Cálculos SJ'!H31,"n.d.")</f>
        <v>0.15</v>
      </c>
      <c r="N98" s="553">
        <f>IF(ISNUMBER('Cálculos SJ'!H31),'Cálculos SJ'!H31,"n.d.")</f>
        <v>0.15</v>
      </c>
      <c r="O98" s="548"/>
    </row>
    <row r="99" spans="1:15" ht="21.75" customHeight="1" x14ac:dyDescent="0.55000000000000004">
      <c r="A99" s="513" t="s">
        <v>462</v>
      </c>
      <c r="B99" s="513" t="s">
        <v>479</v>
      </c>
      <c r="C99" s="553">
        <f>IF(ISNUMBER('Cálculos SJ5'!E20),'Cálculos SJ5'!E20,"n.d.")</f>
        <v>0.13800000000000001</v>
      </c>
      <c r="D99" s="553">
        <f>IF(ISNUMBER('Cálculos SJ5'!E20),'Cálculos SJ5'!E20,"n.d.")</f>
        <v>0.13800000000000001</v>
      </c>
      <c r="E99" s="553">
        <f>IF(ISNUMBER('Cálculos SJ5'!E20),'Cálculos SJ5'!E20,"n.d.")</f>
        <v>0.13800000000000001</v>
      </c>
      <c r="F99" s="553">
        <f>IF(ISNUMBER('Cálculos SJ5'!E20),'Cálculos SJ5'!E20,"n.d.")</f>
        <v>0.13800000000000001</v>
      </c>
      <c r="G99" s="553">
        <f>IF(ISNUMBER('Cálculos SJ5'!E20),'Cálculos SJ5'!E20,"n.d.")</f>
        <v>0.13800000000000001</v>
      </c>
      <c r="H99" s="553">
        <f>IF(ISNUMBER('Cálculos SJ5'!E20),'Cálculos SJ5'!E20,"n.d.")</f>
        <v>0.13800000000000001</v>
      </c>
      <c r="I99" s="553">
        <f>IF(ISNUMBER('Cálculos SJ5'!E20),'Cálculos SJ5'!E20,"n.d.")</f>
        <v>0.13800000000000001</v>
      </c>
      <c r="J99" s="553">
        <f>IF(ISNUMBER('Cálculos SJ5'!E20),'Cálculos SJ5'!E20,"n.d.")</f>
        <v>0.13800000000000001</v>
      </c>
      <c r="K99" s="553">
        <f>IF(ISNUMBER('Cálculos SJ5'!E20),'Cálculos SJ5'!E20,"n.d.")</f>
        <v>0.13800000000000001</v>
      </c>
      <c r="L99" s="553">
        <f>IF(ISNUMBER('Cálculos SJ5'!E20),'Cálculos SJ5'!E20,"n.d.")</f>
        <v>0.13800000000000001</v>
      </c>
      <c r="M99" s="553">
        <f>IF(ISNUMBER('Cálculos SJ5'!E20),'Cálculos SJ5'!E20,"n.d.")</f>
        <v>0.13800000000000001</v>
      </c>
      <c r="N99" s="553">
        <f>IF(ISNUMBER('Cálculos SJ5'!E20),'Cálculos SJ5'!E20,"n.d.")</f>
        <v>0.13800000000000001</v>
      </c>
      <c r="O99" s="548"/>
    </row>
    <row r="100" spans="1:15" ht="21.75" customHeight="1" x14ac:dyDescent="0.55000000000000004">
      <c r="A100" s="513" t="s">
        <v>463</v>
      </c>
      <c r="B100" s="513" t="s">
        <v>480</v>
      </c>
      <c r="C100" s="546">
        <f>IF(ISNUMBER('Cálculos SJ5'!O20),'Cálculos SJ5'!O20,"n.d.")</f>
        <v>1020</v>
      </c>
      <c r="D100" s="546">
        <f>IF(ISNUMBER('Cálculos SJ5'!O20),'Cálculos SJ5'!O20,"n.d.")</f>
        <v>1020</v>
      </c>
      <c r="E100" s="546">
        <f>IF(ISNUMBER('Cálculos SJ5'!O20),'Cálculos SJ5'!O20,"n.d.")</f>
        <v>1020</v>
      </c>
      <c r="F100" s="546">
        <f>IF(ISNUMBER('Cálculos SJ5'!O20),'Cálculos SJ5'!O20,"n.d.")</f>
        <v>1020</v>
      </c>
      <c r="G100" s="546">
        <f>IF(ISNUMBER('Cálculos SJ5'!O20),'Cálculos SJ5'!O20,"n.d.")</f>
        <v>1020</v>
      </c>
      <c r="H100" s="546">
        <f>IF(ISNUMBER('Cálculos SJ5'!O20),'Cálculos SJ5'!O20,"n.d.")</f>
        <v>1020</v>
      </c>
      <c r="I100" s="546">
        <f>IF(ISNUMBER('Cálculos SJ5'!O20),'Cálculos SJ5'!O20,"n.d.")</f>
        <v>1020</v>
      </c>
      <c r="J100" s="546">
        <f>IF(ISNUMBER('Cálculos SJ5'!O20),'Cálculos SJ5'!O20,"n.d.")</f>
        <v>1020</v>
      </c>
      <c r="K100" s="546">
        <f>IF(ISNUMBER('Cálculos SJ5'!O20),'Cálculos SJ5'!O20,"n.d.")</f>
        <v>1020</v>
      </c>
      <c r="L100" s="546">
        <f>IF(ISNUMBER('Cálculos SJ5'!O20),'Cálculos SJ5'!O20,"n.d.")</f>
        <v>1020</v>
      </c>
      <c r="M100" s="546">
        <f>IF(ISNUMBER('Cálculos SJ5'!O20),'Cálculos SJ5'!O20,"n.d.")</f>
        <v>1020</v>
      </c>
      <c r="N100" s="546">
        <f>IF(ISNUMBER('Cálculos SJ5'!O20),'Cálculos SJ5'!O20,"n.d.")</f>
        <v>1020</v>
      </c>
      <c r="O100" s="548"/>
    </row>
    <row r="101" spans="1:15" ht="21.75" customHeight="1" x14ac:dyDescent="0.55000000000000004">
      <c r="A101" s="513" t="s">
        <v>464</v>
      </c>
      <c r="B101" s="513" t="s">
        <v>479</v>
      </c>
      <c r="C101" s="553">
        <f>IF(ISNUMBER('Cálculos SJ6'!E20),'Cálculos SJ6'!E20,"n.d.")</f>
        <v>0.13800000000000001</v>
      </c>
      <c r="D101" s="553">
        <f>IF(ISNUMBER('Cálculos SJ6'!E20),'Cálculos SJ6'!E20,"n.d.")</f>
        <v>0.13800000000000001</v>
      </c>
      <c r="E101" s="553">
        <f>IF(ISNUMBER('Cálculos SJ6'!E20),'Cálculos SJ6'!E20,"n.d.")</f>
        <v>0.13800000000000001</v>
      </c>
      <c r="F101" s="553">
        <f>IF(ISNUMBER('Cálculos SJ6'!E20),'Cálculos SJ6'!E20,"n.d.")</f>
        <v>0.13800000000000001</v>
      </c>
      <c r="G101" s="553">
        <f>IF(ISNUMBER('Cálculos SJ6'!E20),'Cálculos SJ6'!E20,"n.d.")</f>
        <v>0.13800000000000001</v>
      </c>
      <c r="H101" s="553">
        <f>IF(ISNUMBER('Cálculos SJ6'!E20),'Cálculos SJ6'!E20,"n.d.")</f>
        <v>0.13800000000000001</v>
      </c>
      <c r="I101" s="553">
        <f>IF(ISNUMBER('Cálculos SJ6'!E20),'Cálculos SJ6'!E20,"n.d.")</f>
        <v>0.13800000000000001</v>
      </c>
      <c r="J101" s="553">
        <f>IF(ISNUMBER('Cálculos SJ6'!E20),'Cálculos SJ6'!E20,"n.d.")</f>
        <v>0.13800000000000001</v>
      </c>
      <c r="K101" s="553">
        <f>IF(ISNUMBER('Cálculos SJ6'!E20),'Cálculos SJ6'!E20,"n.d.")</f>
        <v>0.13800000000000001</v>
      </c>
      <c r="L101" s="553">
        <f>IF(ISNUMBER('Cálculos SJ6'!E20),'Cálculos SJ6'!E20,"n.d.")</f>
        <v>0.13800000000000001</v>
      </c>
      <c r="M101" s="553">
        <f>IF(ISNUMBER('Cálculos SJ6'!E20),'Cálculos SJ6'!E20,"n.d.")</f>
        <v>0.13800000000000001</v>
      </c>
      <c r="N101" s="553">
        <f>IF(ISNUMBER('Cálculos SJ6'!E20),'Cálculos SJ6'!E20,"n.d.")</f>
        <v>0.13800000000000001</v>
      </c>
      <c r="O101" s="548"/>
    </row>
    <row r="102" spans="1:15" ht="21.75" customHeight="1" x14ac:dyDescent="0.55000000000000004">
      <c r="A102" s="513" t="s">
        <v>465</v>
      </c>
      <c r="B102" s="513" t="s">
        <v>480</v>
      </c>
      <c r="C102" s="546">
        <f>IF(ISNUMBER('Cálculos SJ6'!O20),'Cálculos SJ6'!O20,"n.d.")</f>
        <v>1020</v>
      </c>
      <c r="D102" s="546">
        <f>IF(ISNUMBER('Cálculos SJ6'!O20),'Cálculos SJ6'!O20,"n.d.")</f>
        <v>1020</v>
      </c>
      <c r="E102" s="546">
        <f>IF(ISNUMBER('Cálculos SJ6'!O20),'Cálculos SJ6'!O20,"n.d.")</f>
        <v>1020</v>
      </c>
      <c r="F102" s="546">
        <f>IF(ISNUMBER('Cálculos SJ6'!O20),'Cálculos SJ6'!O20,"n.d.")</f>
        <v>1020</v>
      </c>
      <c r="G102" s="546">
        <f>IF(ISNUMBER('Cálculos SJ6'!O20),'Cálculos SJ6'!O20,"n.d.")</f>
        <v>1020</v>
      </c>
      <c r="H102" s="546">
        <f>IF(ISNUMBER('Cálculos SJ6'!O20),'Cálculos SJ6'!O20,"n.d.")</f>
        <v>1020</v>
      </c>
      <c r="I102" s="546">
        <f>IF(ISNUMBER('Cálculos SJ6'!O20),'Cálculos SJ6'!O20,"n.d.")</f>
        <v>1020</v>
      </c>
      <c r="J102" s="546">
        <f>IF(ISNUMBER('Cálculos SJ6'!O20),'Cálculos SJ6'!O20,"n.d.")</f>
        <v>1020</v>
      </c>
      <c r="K102" s="546">
        <f>IF(ISNUMBER('Cálculos SJ6'!O20),'Cálculos SJ6'!O20,"n.d.")</f>
        <v>1020</v>
      </c>
      <c r="L102" s="546">
        <f>IF(ISNUMBER('Cálculos SJ6'!O20),'Cálculos SJ6'!O20,"n.d.")</f>
        <v>1020</v>
      </c>
      <c r="M102" s="546">
        <f>IF(ISNUMBER('Cálculos SJ6'!O20),'Cálculos SJ6'!O20,"n.d.")</f>
        <v>1020</v>
      </c>
      <c r="N102" s="546">
        <f>IF(ISNUMBER('Cálculos SJ6'!O20),'Cálculos SJ6'!O20,"n.d.")</f>
        <v>1020</v>
      </c>
      <c r="O102" s="548"/>
    </row>
    <row r="103" spans="1:15" ht="21.75" customHeight="1" x14ac:dyDescent="0.55000000000000004">
      <c r="A103" s="513" t="s">
        <v>466</v>
      </c>
      <c r="B103" s="513" t="s">
        <v>479</v>
      </c>
      <c r="C103" s="553">
        <f>IF(ISNUMBER('Cálculos AG'!F38),'Cálculos AG'!F38,IFERROR(VALUE(LEFT('Cálculos AG'!F38,FIND(" ",'Cálculos AG'!F38&amp;" ")-1)),"n.d."))</f>
        <v>0.15</v>
      </c>
      <c r="D103" s="553">
        <f>IF(ISNUMBER('Cálculos AG'!F38),'Cálculos AG'!F38,IFERROR(VALUE(LEFT('Cálculos AG'!F38,FIND(" ",'Cálculos AG'!F38&amp;" ")-1)),"n.d."))</f>
        <v>0.15</v>
      </c>
      <c r="E103" s="553">
        <f>IF(ISNUMBER('Cálculos AG'!F38),'Cálculos AG'!F38,IFERROR(VALUE(LEFT('Cálculos AG'!F38,FIND(" ",'Cálculos AG'!F38&amp;" ")-1)),"n.d."))</f>
        <v>0.15</v>
      </c>
      <c r="F103" s="553">
        <f>IF(ISNUMBER('Cálculos AG'!F38),'Cálculos AG'!F38,IFERROR(VALUE(LEFT('Cálculos AG'!F38,FIND(" ",'Cálculos AG'!F38&amp;" ")-1)),"n.d."))</f>
        <v>0.15</v>
      </c>
      <c r="G103" s="553">
        <f>IF(ISNUMBER('Cálculos AG'!F38),'Cálculos AG'!F38,IFERROR(VALUE(LEFT('Cálculos AG'!F38,FIND(" ",'Cálculos AG'!F38&amp;" ")-1)),"n.d."))</f>
        <v>0.15</v>
      </c>
      <c r="H103" s="553">
        <f>IF(ISNUMBER('Cálculos AG'!F38),'Cálculos AG'!F38,IFERROR(VALUE(LEFT('Cálculos AG'!F38,FIND(" ",'Cálculos AG'!F38&amp;" ")-1)),"n.d."))</f>
        <v>0.15</v>
      </c>
      <c r="I103" s="553">
        <f>IF(ISNUMBER('Cálculos AG'!F38),'Cálculos AG'!F38,IFERROR(VALUE(LEFT('Cálculos AG'!F38,FIND(" ",'Cálculos AG'!F38&amp;" ")-1)),"n.d."))</f>
        <v>0.15</v>
      </c>
      <c r="J103" s="553">
        <f>IF(ISNUMBER('Cálculos AG'!F38),'Cálculos AG'!F38,IFERROR(VALUE(LEFT('Cálculos AG'!F38,FIND(" ",'Cálculos AG'!F38&amp;" ")-1)),"n.d."))</f>
        <v>0.15</v>
      </c>
      <c r="K103" s="553">
        <f>IF(ISNUMBER('Cálculos AG'!F38),'Cálculos AG'!F38,IFERROR(VALUE(LEFT('Cálculos AG'!F38,FIND(" ",'Cálculos AG'!F38&amp;" ")-1)),"n.d."))</f>
        <v>0.15</v>
      </c>
      <c r="L103" s="553">
        <f>IF(ISNUMBER('Cálculos AG'!F38),'Cálculos AG'!F38,IFERROR(VALUE(LEFT('Cálculos AG'!F38,FIND(" ",'Cálculos AG'!F38&amp;" ")-1)),"n.d."))</f>
        <v>0.15</v>
      </c>
      <c r="M103" s="553">
        <f>IF(ISNUMBER('Cálculos AG'!F38),'Cálculos AG'!F38,IFERROR(VALUE(LEFT('Cálculos AG'!F38,FIND(" ",'Cálculos AG'!F38&amp;" ")-1)),"n.d."))</f>
        <v>0.15</v>
      </c>
      <c r="N103" s="553">
        <f>IF(ISNUMBER('Cálculos AG'!F38),'Cálculos AG'!F38,IFERROR(VALUE(LEFT('Cálculos AG'!F38,FIND(" ",'Cálculos AG'!F38&amp;" ")-1)),"n.d."))</f>
        <v>0.15</v>
      </c>
      <c r="O103" s="548"/>
    </row>
    <row r="104" spans="1:15" ht="21.75" customHeight="1" x14ac:dyDescent="0.55000000000000004">
      <c r="A104" s="513" t="s">
        <v>467</v>
      </c>
      <c r="B104" s="513" t="s">
        <v>479</v>
      </c>
      <c r="C104" s="553">
        <f>IF(ISNUMBER('Cálculos AG'!O18),'Cálculos AG'!O18,"n.d.")</f>
        <v>0.13800000000000001</v>
      </c>
      <c r="D104" s="553">
        <f>IF(ISNUMBER('Cálculos AG'!O18),'Cálculos AG'!O18,"n.d.")</f>
        <v>0.13800000000000001</v>
      </c>
      <c r="E104" s="553">
        <f>IF(ISNUMBER('Cálculos AG'!O18),'Cálculos AG'!O18,"n.d.")</f>
        <v>0.13800000000000001</v>
      </c>
      <c r="F104" s="553">
        <f>IF(ISNUMBER('Cálculos AG'!O18),'Cálculos AG'!O18,"n.d.")</f>
        <v>0.13800000000000001</v>
      </c>
      <c r="G104" s="553">
        <f>IF(ISNUMBER('Cálculos AG'!O18),'Cálculos AG'!O18,"n.d.")</f>
        <v>0.13800000000000001</v>
      </c>
      <c r="H104" s="553">
        <f>IF(ISNUMBER('Cálculos AG'!O18),'Cálculos AG'!O18,"n.d.")</f>
        <v>0.13800000000000001</v>
      </c>
      <c r="I104" s="553">
        <f>IF(ISNUMBER('Cálculos AG'!O18),'Cálculos AG'!O18,"n.d.")</f>
        <v>0.13800000000000001</v>
      </c>
      <c r="J104" s="553">
        <f>IF(ISNUMBER('Cálculos AG'!O18),'Cálculos AG'!O18,"n.d.")</f>
        <v>0.13800000000000001</v>
      </c>
      <c r="K104" s="553">
        <f>IF(ISNUMBER('Cálculos AG'!O18),'Cálculos AG'!O18,"n.d.")</f>
        <v>0.13800000000000001</v>
      </c>
      <c r="L104" s="553">
        <f>IF(ISNUMBER('Cálculos AG'!O18),'Cálculos AG'!O18,"n.d.")</f>
        <v>0.13800000000000001</v>
      </c>
      <c r="M104" s="553">
        <f>IF(ISNUMBER('Cálculos AG'!O18),'Cálculos AG'!O18,"n.d.")</f>
        <v>0.13800000000000001</v>
      </c>
      <c r="N104" s="553">
        <f>IF(ISNUMBER('Cálculos AG'!O18),'Cálculos AG'!O18,"n.d.")</f>
        <v>0.13800000000000001</v>
      </c>
      <c r="O104" s="548"/>
    </row>
    <row r="105" spans="1:15" ht="21.75" customHeight="1" x14ac:dyDescent="0.55000000000000004">
      <c r="A105" s="513" t="s">
        <v>468</v>
      </c>
      <c r="B105" s="513" t="s">
        <v>479</v>
      </c>
      <c r="C105" s="553">
        <f>IF(ISNUMBER('Cálculos PS'!F38),'Cálculos PS'!F38,IFERROR(VALUE(LEFT('Cálculos PS'!F38,FIND(" ",'Cálculos PS'!F38&amp;" ")-1)),"n.d."))</f>
        <v>0.15</v>
      </c>
      <c r="D105" s="553">
        <f>IF(ISNUMBER('Cálculos PS'!F38),'Cálculos PS'!F38,IFERROR(VALUE(LEFT('Cálculos PS'!F38,FIND(" ",'Cálculos PS'!F38&amp;" ")-1)),"n.d."))</f>
        <v>0.15</v>
      </c>
      <c r="E105" s="553">
        <f>IF(ISNUMBER('Cálculos PS'!F38),'Cálculos PS'!F38,IFERROR(VALUE(LEFT('Cálculos PS'!F38,FIND(" ",'Cálculos PS'!F38&amp;" ")-1)),"n.d."))</f>
        <v>0.15</v>
      </c>
      <c r="F105" s="553">
        <f>IF(ISNUMBER('Cálculos PS'!F38),'Cálculos PS'!F38,IFERROR(VALUE(LEFT('Cálculos PS'!F38,FIND(" ",'Cálculos PS'!F38&amp;" ")-1)),"n.d."))</f>
        <v>0.15</v>
      </c>
      <c r="G105" s="553">
        <f>IF(ISNUMBER('Cálculos PS'!F38),'Cálculos PS'!F38,IFERROR(VALUE(LEFT('Cálculos PS'!F38,FIND(" ",'Cálculos PS'!F38&amp;" ")-1)),"n.d."))</f>
        <v>0.15</v>
      </c>
      <c r="H105" s="553">
        <f>IF(ISNUMBER('Cálculos PS'!F38),'Cálculos PS'!F38,IFERROR(VALUE(LEFT('Cálculos PS'!F38,FIND(" ",'Cálculos PS'!F38&amp;" ")-1)),"n.d."))</f>
        <v>0.15</v>
      </c>
      <c r="I105" s="553">
        <f>IF(ISNUMBER('Cálculos PS'!F38),'Cálculos PS'!F38,IFERROR(VALUE(LEFT('Cálculos PS'!F38,FIND(" ",'Cálculos PS'!F38&amp;" ")-1)),"n.d."))</f>
        <v>0.15</v>
      </c>
      <c r="J105" s="553">
        <f>IF(ISNUMBER('Cálculos PS'!F38),'Cálculos PS'!F38,IFERROR(VALUE(LEFT('Cálculos PS'!F38,FIND(" ",'Cálculos PS'!F38&amp;" ")-1)),"n.d."))</f>
        <v>0.15</v>
      </c>
      <c r="K105" s="553">
        <f>IF(ISNUMBER('Cálculos PS'!F38),'Cálculos PS'!F38,IFERROR(VALUE(LEFT('Cálculos PS'!F38,FIND(" ",'Cálculos PS'!F38&amp;" ")-1)),"n.d."))</f>
        <v>0.15</v>
      </c>
      <c r="L105" s="553">
        <f>IF(ISNUMBER('Cálculos PS'!F38),'Cálculos PS'!F38,IFERROR(VALUE(LEFT('Cálculos PS'!F38,FIND(" ",'Cálculos PS'!F38&amp;" ")-1)),"n.d."))</f>
        <v>0.15</v>
      </c>
      <c r="M105" s="553">
        <f>IF(ISNUMBER('Cálculos PS'!F38),'Cálculos PS'!F38,IFERROR(VALUE(LEFT('Cálculos PS'!F38,FIND(" ",'Cálculos PS'!F38&amp;" ")-1)),"n.d."))</f>
        <v>0.15</v>
      </c>
      <c r="N105" s="553">
        <f>IF(ISNUMBER('Cálculos PS'!F38),'Cálculos PS'!F38,IFERROR(VALUE(LEFT('Cálculos PS'!F38,FIND(" ",'Cálculos PS'!F38&amp;" ")-1)),"n.d."))</f>
        <v>0.15</v>
      </c>
      <c r="O105" s="548"/>
    </row>
    <row r="106" spans="1:15" ht="21.75" customHeight="1" x14ac:dyDescent="0.55000000000000004">
      <c r="A106" s="513" t="s">
        <v>469</v>
      </c>
      <c r="B106" s="513" t="s">
        <v>479</v>
      </c>
      <c r="C106" s="553">
        <f>IF(ISNUMBER('Cálculos PS'!N18),'Cálculos PS'!N18,"n.d.")</f>
        <v>0.13800000000000001</v>
      </c>
      <c r="D106" s="553">
        <f>IF(ISNUMBER('Cálculos PS'!N18),'Cálculos PS'!N18,"n.d.")</f>
        <v>0.13800000000000001</v>
      </c>
      <c r="E106" s="553">
        <f>IF(ISNUMBER('Cálculos PS'!N18),'Cálculos PS'!N18,"n.d.")</f>
        <v>0.13800000000000001</v>
      </c>
      <c r="F106" s="553">
        <f>IF(ISNUMBER('Cálculos PS'!N18),'Cálculos PS'!N18,"n.d.")</f>
        <v>0.13800000000000001</v>
      </c>
      <c r="G106" s="553">
        <f>IF(ISNUMBER('Cálculos PS'!N18),'Cálculos PS'!N18,"n.d.")</f>
        <v>0.13800000000000001</v>
      </c>
      <c r="H106" s="553">
        <f>IF(ISNUMBER('Cálculos PS'!N18),'Cálculos PS'!N18,"n.d.")</f>
        <v>0.13800000000000001</v>
      </c>
      <c r="I106" s="553">
        <f>IF(ISNUMBER('Cálculos PS'!N18),'Cálculos PS'!N18,"n.d.")</f>
        <v>0.13800000000000001</v>
      </c>
      <c r="J106" s="553">
        <f>IF(ISNUMBER('Cálculos PS'!N18),'Cálculos PS'!N18,"n.d.")</f>
        <v>0.13800000000000001</v>
      </c>
      <c r="K106" s="553">
        <f>IF(ISNUMBER('Cálculos PS'!N18),'Cálculos PS'!N18,"n.d.")</f>
        <v>0.13800000000000001</v>
      </c>
      <c r="L106" s="553">
        <f>IF(ISNUMBER('Cálculos PS'!N18),'Cálculos PS'!N18,"n.d.")</f>
        <v>0.13800000000000001</v>
      </c>
      <c r="M106" s="553">
        <f>IF(ISNUMBER('Cálculos PS'!N18),'Cálculos PS'!N18,"n.d.")</f>
        <v>0.13800000000000001</v>
      </c>
      <c r="N106" s="553">
        <f>IF(ISNUMBER('Cálculos PS'!N18),'Cálculos PS'!N18,"n.d.")</f>
        <v>0.13800000000000001</v>
      </c>
      <c r="O106" s="548"/>
    </row>
    <row r="107" spans="1:15" ht="21.75" customHeight="1" x14ac:dyDescent="0.55000000000000004">
      <c r="A107" s="513" t="s">
        <v>470</v>
      </c>
      <c r="B107" s="513" t="s">
        <v>479</v>
      </c>
      <c r="C107" s="553">
        <f>IF(ISNUMBER('MPs PS'!E20),'MPs PS'!E20,"n.d.")</f>
        <v>0.13800000000000001</v>
      </c>
      <c r="D107" s="553">
        <f>IF(ISNUMBER('MPs PS'!E20),'MPs PS'!E20,"n.d.")</f>
        <v>0.13800000000000001</v>
      </c>
      <c r="E107" s="553">
        <f>IF(ISNUMBER('MPs PS'!E20),'MPs PS'!E20,"n.d.")</f>
        <v>0.13800000000000001</v>
      </c>
      <c r="F107" s="553">
        <f>IF(ISNUMBER('MPs PS'!E20),'MPs PS'!E20,"n.d.")</f>
        <v>0.13800000000000001</v>
      </c>
      <c r="G107" s="553">
        <f>IF(ISNUMBER('MPs PS'!E20),'MPs PS'!E20,"n.d.")</f>
        <v>0.13800000000000001</v>
      </c>
      <c r="H107" s="553">
        <f>IF(ISNUMBER('MPs PS'!E20),'MPs PS'!E20,"n.d.")</f>
        <v>0.13800000000000001</v>
      </c>
      <c r="I107" s="553">
        <f>IF(ISNUMBER('MPs PS'!E20),'MPs PS'!E20,"n.d.")</f>
        <v>0.13800000000000001</v>
      </c>
      <c r="J107" s="553">
        <f>IF(ISNUMBER('MPs PS'!E20),'MPs PS'!E20,"n.d.")</f>
        <v>0.13800000000000001</v>
      </c>
      <c r="K107" s="553">
        <f>IF(ISNUMBER('MPs PS'!E20),'MPs PS'!E20,"n.d.")</f>
        <v>0.13800000000000001</v>
      </c>
      <c r="L107" s="553">
        <f>IF(ISNUMBER('MPs PS'!E20),'MPs PS'!E20,"n.d.")</f>
        <v>0.13800000000000001</v>
      </c>
      <c r="M107" s="553">
        <f>IF(ISNUMBER('MPs PS'!E20),'MPs PS'!E20,"n.d.")</f>
        <v>0.13800000000000001</v>
      </c>
      <c r="N107" s="553">
        <f>IF(ISNUMBER('MPs PS'!E20),'MPs PS'!E20,"n.d.")</f>
        <v>0.13800000000000001</v>
      </c>
      <c r="O107" s="548"/>
    </row>
    <row r="108" spans="1:15" ht="21.75" customHeight="1" x14ac:dyDescent="0.55000000000000004">
      <c r="A108" s="513" t="s">
        <v>471</v>
      </c>
      <c r="B108" s="513" t="s">
        <v>480</v>
      </c>
      <c r="C108" s="546">
        <f>IF(ISNUMBER('MPs PS'!O20),'MPs PS'!O20,"n.d.")</f>
        <v>1026</v>
      </c>
      <c r="D108" s="546">
        <f>IF(ISNUMBER('MPs PS'!O20),'MPs PS'!O20,"n.d.")</f>
        <v>1026</v>
      </c>
      <c r="E108" s="546">
        <f>IF(ISNUMBER('MPs PS'!O20),'MPs PS'!O20,"n.d.")</f>
        <v>1026</v>
      </c>
      <c r="F108" s="546">
        <f>IF(ISNUMBER('MPs PS'!O20),'MPs PS'!O20,"n.d.")</f>
        <v>1026</v>
      </c>
      <c r="G108" s="546">
        <f>IF(ISNUMBER('MPs PS'!O20),'MPs PS'!O20,"n.d.")</f>
        <v>1026</v>
      </c>
      <c r="H108" s="546">
        <f>IF(ISNUMBER('MPs PS'!O20),'MPs PS'!O20,"n.d.")</f>
        <v>1026</v>
      </c>
      <c r="I108" s="546">
        <f>IF(ISNUMBER('MPs PS'!O20),'MPs PS'!O20,"n.d.")</f>
        <v>1026</v>
      </c>
      <c r="J108" s="546">
        <f>IF(ISNUMBER('MPs PS'!O20),'MPs PS'!O20,"n.d.")</f>
        <v>1026</v>
      </c>
      <c r="K108" s="546">
        <f>IF(ISNUMBER('MPs PS'!O20),'MPs PS'!O20,"n.d.")</f>
        <v>1026</v>
      </c>
      <c r="L108" s="546">
        <f>IF(ISNUMBER('MPs PS'!O20),'MPs PS'!O20,"n.d.")</f>
        <v>1026</v>
      </c>
      <c r="M108" s="546">
        <f>IF(ISNUMBER('MPs PS'!O20),'MPs PS'!O20,"n.d.")</f>
        <v>1026</v>
      </c>
      <c r="N108" s="546">
        <f>IF(ISNUMBER('MPs PS'!O20),'MPs PS'!O20,"n.d.")</f>
        <v>1026</v>
      </c>
      <c r="O108" s="548"/>
    </row>
    <row r="109" spans="1:15" ht="21.75" customHeight="1" x14ac:dyDescent="0.55000000000000004">
      <c r="A109" s="513" t="s">
        <v>472</v>
      </c>
      <c r="B109" s="513" t="s">
        <v>479</v>
      </c>
      <c r="C109" s="553">
        <v>0.13800000000000001</v>
      </c>
      <c r="D109" s="553">
        <v>0.13800000000000001</v>
      </c>
      <c r="E109" s="553">
        <v>0.13800000000000001</v>
      </c>
      <c r="F109" s="553">
        <v>0.13800000000000001</v>
      </c>
      <c r="G109" s="553">
        <v>0.13800000000000001</v>
      </c>
      <c r="H109" s="553">
        <v>0.13800000000000001</v>
      </c>
      <c r="I109" s="553">
        <v>0.13800000000000001</v>
      </c>
      <c r="J109" s="553">
        <v>0.13800000000000001</v>
      </c>
      <c r="K109" s="553">
        <v>0.13800000000000001</v>
      </c>
      <c r="L109" s="553">
        <v>0.13800000000000001</v>
      </c>
      <c r="M109" s="553">
        <v>0.13800000000000001</v>
      </c>
      <c r="N109" s="553">
        <v>0.13800000000000001</v>
      </c>
      <c r="O109" s="548"/>
    </row>
    <row r="110" spans="1:15" ht="21.75" customHeight="1" x14ac:dyDescent="0.55000000000000004">
      <c r="A110" s="513" t="s">
        <v>473</v>
      </c>
      <c r="B110" s="513" t="s">
        <v>479</v>
      </c>
      <c r="C110" s="553">
        <f>IF(ISNUMBER('Cálculos Daguao'!F19),'Cálculos Daguao'!F19,"n.d.")</f>
        <v>0.13800000000000001</v>
      </c>
      <c r="D110" s="553">
        <f>IF(ISNUMBER('Cálculos Daguao'!F19),'Cálculos Daguao'!F19,"n.d.")</f>
        <v>0.13800000000000001</v>
      </c>
      <c r="E110" s="553">
        <f>IF(ISNUMBER('Cálculos Daguao'!F19),'Cálculos Daguao'!F19,"n.d.")</f>
        <v>0.13800000000000001</v>
      </c>
      <c r="F110" s="553">
        <f>IF(ISNUMBER('Cálculos Daguao'!F19),'Cálculos Daguao'!F19,"n.d.")</f>
        <v>0.13800000000000001</v>
      </c>
      <c r="G110" s="553">
        <f>IF(ISNUMBER('Cálculos Daguao'!F19),'Cálculos Daguao'!F19,"n.d.")</f>
        <v>0.13800000000000001</v>
      </c>
      <c r="H110" s="553">
        <f>IF(ISNUMBER('Cálculos Daguao'!F19),'Cálculos Daguao'!F19,"n.d.")</f>
        <v>0.13800000000000001</v>
      </c>
      <c r="I110" s="553">
        <f>IF(ISNUMBER('Cálculos Daguao'!F19),'Cálculos Daguao'!F19,"n.d.")</f>
        <v>0.13800000000000001</v>
      </c>
      <c r="J110" s="553">
        <f>IF(ISNUMBER('Cálculos Daguao'!F19),'Cálculos Daguao'!F19,"n.d.")</f>
        <v>0.13800000000000001</v>
      </c>
      <c r="K110" s="553">
        <f>IF(ISNUMBER('Cálculos Daguao'!F19),'Cálculos Daguao'!F19,"n.d.")</f>
        <v>0.13800000000000001</v>
      </c>
      <c r="L110" s="553">
        <f>IF(ISNUMBER('Cálculos Daguao'!F19),'Cálculos Daguao'!F19,"n.d.")</f>
        <v>0.13800000000000001</v>
      </c>
      <c r="M110" s="553">
        <f>IF(ISNUMBER('Cálculos Daguao'!F19),'Cálculos Daguao'!F19,"n.d.")</f>
        <v>0.13800000000000001</v>
      </c>
      <c r="N110" s="553">
        <f>IF(ISNUMBER('Cálculos Daguao'!F19),'Cálculos Daguao'!F19,"n.d.")</f>
        <v>0.13800000000000001</v>
      </c>
      <c r="O110" s="548"/>
    </row>
    <row r="111" spans="1:15" ht="21.75" customHeight="1" x14ac:dyDescent="0.55000000000000004">
      <c r="A111" s="513" t="s">
        <v>474</v>
      </c>
      <c r="B111" s="513" t="s">
        <v>479</v>
      </c>
      <c r="C111" s="553">
        <f>IF(ISNUMBER('Cálculos Yabucoa'!F19),'Cálculos Yabucoa'!F19,"n.d.")</f>
        <v>0.13800000000000001</v>
      </c>
      <c r="D111" s="553">
        <f>IF(ISNUMBER('Cálculos Yabucoa'!F19),'Cálculos Yabucoa'!F19,"n.d.")</f>
        <v>0.13800000000000001</v>
      </c>
      <c r="E111" s="553">
        <f>IF(ISNUMBER('Cálculos Yabucoa'!F19),'Cálculos Yabucoa'!F19,"n.d.")</f>
        <v>0.13800000000000001</v>
      </c>
      <c r="F111" s="553">
        <f>IF(ISNUMBER('Cálculos Yabucoa'!F19),'Cálculos Yabucoa'!F19,"n.d.")</f>
        <v>0.13800000000000001</v>
      </c>
      <c r="G111" s="553">
        <f>IF(ISNUMBER('Cálculos Yabucoa'!F19),'Cálculos Yabucoa'!F19,"n.d.")</f>
        <v>0.13800000000000001</v>
      </c>
      <c r="H111" s="553">
        <f>IF(ISNUMBER('Cálculos Yabucoa'!F19),'Cálculos Yabucoa'!F19,"n.d.")</f>
        <v>0.13800000000000001</v>
      </c>
      <c r="I111" s="553">
        <f>IF(ISNUMBER('Cálculos Yabucoa'!F19),'Cálculos Yabucoa'!F19,"n.d.")</f>
        <v>0.13800000000000001</v>
      </c>
      <c r="J111" s="553">
        <f>IF(ISNUMBER('Cálculos Yabucoa'!F19),'Cálculos Yabucoa'!F19,"n.d.")</f>
        <v>0.13800000000000001</v>
      </c>
      <c r="K111" s="553">
        <f>IF(ISNUMBER('Cálculos Yabucoa'!F19),'Cálculos Yabucoa'!F19,"n.d.")</f>
        <v>0.13800000000000001</v>
      </c>
      <c r="L111" s="553">
        <f>IF(ISNUMBER('Cálculos Yabucoa'!F19),'Cálculos Yabucoa'!F19,"n.d.")</f>
        <v>0.13800000000000001</v>
      </c>
      <c r="M111" s="553">
        <f>IF(ISNUMBER('Cálculos Yabucoa'!F19),'Cálculos Yabucoa'!F19,"n.d.")</f>
        <v>0.13800000000000001</v>
      </c>
      <c r="N111" s="553">
        <f>IF(ISNUMBER('Cálculos Yabucoa'!F19),'Cálculos Yabucoa'!F19,"n.d.")</f>
        <v>0.13800000000000001</v>
      </c>
      <c r="O111" s="548"/>
    </row>
    <row r="112" spans="1:15" ht="21.75" customHeight="1" x14ac:dyDescent="0.55000000000000004">
      <c r="A112" s="513" t="s">
        <v>475</v>
      </c>
      <c r="B112" s="513" t="s">
        <v>479</v>
      </c>
      <c r="C112" s="553">
        <f>IF(ISNUMBER('Cálculos Vega Baja'!F19),'Cálculos Vega Baja'!F19,"n.d.")</f>
        <v>0.13800000000000001</v>
      </c>
      <c r="D112" s="553">
        <f>IF(ISNUMBER('Cálculos Vega Baja'!F19),'Cálculos Vega Baja'!F19,"n.d.")</f>
        <v>0.13800000000000001</v>
      </c>
      <c r="E112" s="553">
        <f>IF(ISNUMBER('Cálculos Vega Baja'!F19),'Cálculos Vega Baja'!F19,"n.d.")</f>
        <v>0.13800000000000001</v>
      </c>
      <c r="F112" s="553">
        <f>IF(ISNUMBER('Cálculos Vega Baja'!F19),'Cálculos Vega Baja'!F19,"n.d.")</f>
        <v>0.13800000000000001</v>
      </c>
      <c r="G112" s="553">
        <f>IF(ISNUMBER('Cálculos Vega Baja'!F19),'Cálculos Vega Baja'!F19,"n.d.")</f>
        <v>0.13800000000000001</v>
      </c>
      <c r="H112" s="553">
        <f>IF(ISNUMBER('Cálculos Vega Baja'!F19),'Cálculos Vega Baja'!F19,"n.d.")</f>
        <v>0.13800000000000001</v>
      </c>
      <c r="I112" s="553">
        <f>IF(ISNUMBER('Cálculos Vega Baja'!F19),'Cálculos Vega Baja'!F19,"n.d.")</f>
        <v>0.13800000000000001</v>
      </c>
      <c r="J112" s="553">
        <f>IF(ISNUMBER('Cálculos Vega Baja'!F19),'Cálculos Vega Baja'!F19,"n.d.")</f>
        <v>0.13800000000000001</v>
      </c>
      <c r="K112" s="553">
        <f>IF(ISNUMBER('Cálculos Vega Baja'!F19),'Cálculos Vega Baja'!F19,"n.d.")</f>
        <v>0.13800000000000001</v>
      </c>
      <c r="L112" s="553">
        <f>IF(ISNUMBER('Cálculos Vega Baja'!F19),'Cálculos Vega Baja'!F19,"n.d.")</f>
        <v>0.13800000000000001</v>
      </c>
      <c r="M112" s="553">
        <f>IF(ISNUMBER('Cálculos Vega Baja'!F19),'Cálculos Vega Baja'!F19,"n.d.")</f>
        <v>0.13800000000000001</v>
      </c>
      <c r="N112" s="553">
        <f>IF(ISNUMBER('Cálculos Vega Baja'!F19),'Cálculos Vega Baja'!F19,"n.d.")</f>
        <v>0.13800000000000001</v>
      </c>
      <c r="O112" s="548"/>
    </row>
    <row r="113" spans="1:15" ht="21.75" customHeight="1" x14ac:dyDescent="0.55000000000000004">
      <c r="A113" s="513" t="s">
        <v>476</v>
      </c>
      <c r="B113" s="513" t="s">
        <v>479</v>
      </c>
      <c r="C113" s="553">
        <f>IF(ISNUMBER('Cálculos Jobos'!F19),'Cálculos Jobos'!F19,"n.d.")</f>
        <v>0.13800000000000001</v>
      </c>
      <c r="D113" s="553">
        <f>IF(ISNUMBER('Cálculos Jobos'!F19),'Cálculos Jobos'!F19,"n.d.")</f>
        <v>0.13800000000000001</v>
      </c>
      <c r="E113" s="553">
        <f>IF(ISNUMBER('Cálculos Jobos'!F19),'Cálculos Jobos'!F19,"n.d.")</f>
        <v>0.13800000000000001</v>
      </c>
      <c r="F113" s="553">
        <f>IF(ISNUMBER('Cálculos Jobos'!F19),'Cálculos Jobos'!F19,"n.d.")</f>
        <v>0.13800000000000001</v>
      </c>
      <c r="G113" s="553">
        <f>IF(ISNUMBER('Cálculos Jobos'!F19),'Cálculos Jobos'!F19,"n.d.")</f>
        <v>0.13800000000000001</v>
      </c>
      <c r="H113" s="553">
        <f>IF(ISNUMBER('Cálculos Jobos'!F19),'Cálculos Jobos'!F19,"n.d.")</f>
        <v>0.13800000000000001</v>
      </c>
      <c r="I113" s="553">
        <f>IF(ISNUMBER('Cálculos Jobos'!F19),'Cálculos Jobos'!F19,"n.d.")</f>
        <v>0.13800000000000001</v>
      </c>
      <c r="J113" s="553">
        <f>IF(ISNUMBER('Cálculos Jobos'!F19),'Cálculos Jobos'!F19,"n.d.")</f>
        <v>0.13800000000000001</v>
      </c>
      <c r="K113" s="553">
        <f>IF(ISNUMBER('Cálculos Jobos'!F19),'Cálculos Jobos'!F19,"n.d.")</f>
        <v>0.13800000000000001</v>
      </c>
      <c r="L113" s="553">
        <f>IF(ISNUMBER('Cálculos Jobos'!F19),'Cálculos Jobos'!F19,"n.d.")</f>
        <v>0.13800000000000001</v>
      </c>
      <c r="M113" s="553">
        <f>IF(ISNUMBER('Cálculos Jobos'!F19),'Cálculos Jobos'!F19,"n.d.")</f>
        <v>0.13800000000000001</v>
      </c>
      <c r="N113" s="553">
        <f>IF(ISNUMBER('Cálculos Jobos'!F19),'Cálculos Jobos'!F19,"n.d.")</f>
        <v>0.13800000000000001</v>
      </c>
      <c r="O113" s="548"/>
    </row>
    <row r="114" spans="1:15" ht="21.75" customHeight="1" x14ac:dyDescent="0.55000000000000004">
      <c r="A114" s="513" t="s">
        <v>477</v>
      </c>
      <c r="B114" s="513" t="s">
        <v>479</v>
      </c>
      <c r="C114" s="553">
        <f>IF(ISNUMBER('Cálculos Mayagüez'!F18),'Cálculos Mayagüez'!F18,"n.d.")</f>
        <v>0.13800000000000001</v>
      </c>
      <c r="D114" s="553">
        <f>IF(ISNUMBER('Cálculos Mayagüez'!F18),'Cálculos Mayagüez'!F18,"n.d.")</f>
        <v>0.13800000000000001</v>
      </c>
      <c r="E114" s="553">
        <f>IF(ISNUMBER('Cálculos Mayagüez'!F18),'Cálculos Mayagüez'!F18,"n.d.")</f>
        <v>0.13800000000000001</v>
      </c>
      <c r="F114" s="553">
        <f>IF(ISNUMBER('Cálculos Mayagüez'!F18),'Cálculos Mayagüez'!F18,"n.d.")</f>
        <v>0.13800000000000001</v>
      </c>
      <c r="G114" s="553">
        <f>IF(ISNUMBER('Cálculos Mayagüez'!F18),'Cálculos Mayagüez'!F18,"n.d.")</f>
        <v>0.13800000000000001</v>
      </c>
      <c r="H114" s="553">
        <f>IF(ISNUMBER('Cálculos Mayagüez'!F18),'Cálculos Mayagüez'!F18,"n.d.")</f>
        <v>0.13800000000000001</v>
      </c>
      <c r="I114" s="553">
        <f>IF(ISNUMBER('Cálculos Mayagüez'!F18),'Cálculos Mayagüez'!F18,"n.d.")</f>
        <v>0.13800000000000001</v>
      </c>
      <c r="J114" s="553">
        <f>IF(ISNUMBER('Cálculos Mayagüez'!F18),'Cálculos Mayagüez'!F18,"n.d.")</f>
        <v>0.13800000000000001</v>
      </c>
      <c r="K114" s="553">
        <f>IF(ISNUMBER('Cálculos Mayagüez'!F18),'Cálculos Mayagüez'!F18,"n.d.")</f>
        <v>0.13800000000000001</v>
      </c>
      <c r="L114" s="553">
        <f>IF(ISNUMBER('Cálculos Mayagüez'!F18),'Cálculos Mayagüez'!F18,"n.d.")</f>
        <v>0.13800000000000001</v>
      </c>
      <c r="M114" s="553">
        <f>IF(ISNUMBER('Cálculos Mayagüez'!F18),'Cálculos Mayagüez'!F18,"n.d.")</f>
        <v>0.13800000000000001</v>
      </c>
      <c r="N114" s="553">
        <f>IF(ISNUMBER('Cálculos Mayagüez'!F18),'Cálculos Mayagüez'!F18,"n.d.")</f>
        <v>0.13800000000000001</v>
      </c>
      <c r="O114" s="548"/>
    </row>
    <row r="115" spans="1:15" ht="21.75" customHeight="1" x14ac:dyDescent="0.55000000000000004">
      <c r="A115" s="513"/>
      <c r="B115" s="513"/>
      <c r="C115" s="548"/>
      <c r="D115" s="548"/>
      <c r="E115" s="548"/>
      <c r="F115" s="548"/>
      <c r="G115" s="548"/>
      <c r="H115" s="548"/>
      <c r="I115" s="548"/>
      <c r="J115" s="548"/>
      <c r="K115" s="548"/>
      <c r="L115" s="548"/>
      <c r="M115" s="548"/>
      <c r="N115" s="548"/>
      <c r="O115" s="548"/>
    </row>
    <row r="116" spans="1:15" ht="21.75" customHeight="1" x14ac:dyDescent="0.55000000000000004">
      <c r="A116" s="513"/>
      <c r="B116" s="513"/>
      <c r="C116" s="548"/>
      <c r="D116" s="548"/>
      <c r="E116" s="548"/>
      <c r="F116" s="548"/>
      <c r="G116" s="548"/>
      <c r="H116" s="548"/>
      <c r="I116" s="548"/>
      <c r="J116" s="548"/>
      <c r="K116" s="548"/>
      <c r="L116" s="548"/>
      <c r="M116" s="548"/>
      <c r="N116" s="548"/>
      <c r="O116" s="548"/>
    </row>
    <row r="117" spans="1:15" ht="31.5" customHeight="1" x14ac:dyDescent="0.55000000000000004">
      <c r="A117" s="610" t="s">
        <v>481</v>
      </c>
      <c r="B117" s="610"/>
      <c r="C117" s="545"/>
      <c r="D117" s="545"/>
      <c r="E117" s="545"/>
      <c r="F117" s="545"/>
      <c r="G117" s="545"/>
      <c r="H117" s="545"/>
      <c r="I117" s="545"/>
      <c r="J117" s="545"/>
      <c r="K117" s="545"/>
      <c r="L117" s="545"/>
      <c r="M117" s="545"/>
      <c r="N117" s="545"/>
      <c r="O117" s="545"/>
    </row>
    <row r="118" spans="1:15" ht="37.5" customHeight="1" x14ac:dyDescent="0.55000000000000004">
      <c r="A118" s="539" t="s">
        <v>375</v>
      </c>
      <c r="B118" s="539" t="s">
        <v>376</v>
      </c>
      <c r="C118" s="539" t="s">
        <v>427</v>
      </c>
      <c r="D118" s="539" t="s">
        <v>428</v>
      </c>
      <c r="E118" s="539" t="s">
        <v>429</v>
      </c>
      <c r="F118" s="539" t="s">
        <v>430</v>
      </c>
      <c r="G118" s="539" t="s">
        <v>5</v>
      </c>
      <c r="H118" s="539" t="s">
        <v>431</v>
      </c>
      <c r="I118" s="539" t="s">
        <v>432</v>
      </c>
      <c r="J118" s="539" t="s">
        <v>433</v>
      </c>
      <c r="K118" s="539" t="s">
        <v>434</v>
      </c>
      <c r="L118" s="539" t="s">
        <v>435</v>
      </c>
      <c r="M118" s="539" t="s">
        <v>436</v>
      </c>
      <c r="N118" s="539" t="s">
        <v>437</v>
      </c>
      <c r="O118" s="539"/>
    </row>
    <row r="119" spans="1:15" ht="21.75" customHeight="1" x14ac:dyDescent="0.55000000000000004">
      <c r="A119" s="513" t="s">
        <v>456</v>
      </c>
      <c r="B119" s="513" t="s">
        <v>136</v>
      </c>
      <c r="C119" s="546">
        <f t="shared" ref="C119:N119" si="27">IF(ISNUMBER(C67),IF(C67=0,0,IF(ISNUMBER(C93),C67*C93,"n.d.")),"n.d.")</f>
        <v>49635.998999999996</v>
      </c>
      <c r="D119" s="546">
        <f t="shared" si="27"/>
        <v>114313.24799999999</v>
      </c>
      <c r="E119" s="546">
        <f t="shared" si="27"/>
        <v>0</v>
      </c>
      <c r="F119" s="546">
        <f t="shared" si="27"/>
        <v>0</v>
      </c>
      <c r="G119" s="546">
        <f t="shared" si="27"/>
        <v>398771.163</v>
      </c>
      <c r="H119" s="546">
        <f t="shared" si="27"/>
        <v>1515675.798</v>
      </c>
      <c r="I119" s="546">
        <f t="shared" si="27"/>
        <v>470509.13699999999</v>
      </c>
      <c r="J119" s="546">
        <f t="shared" si="27"/>
        <v>207491.31899999999</v>
      </c>
      <c r="K119" s="546">
        <f t="shared" si="27"/>
        <v>99855.504000000001</v>
      </c>
      <c r="L119" s="546">
        <f t="shared" si="27"/>
        <v>426720.16800000001</v>
      </c>
      <c r="M119" s="546">
        <f t="shared" si="27"/>
        <v>306281.745</v>
      </c>
      <c r="N119" s="546">
        <f t="shared" si="27"/>
        <v>666071.15399999998</v>
      </c>
      <c r="O119" s="548"/>
    </row>
    <row r="120" spans="1:15" ht="21.75" customHeight="1" x14ac:dyDescent="0.55000000000000004">
      <c r="A120" s="513" t="s">
        <v>457</v>
      </c>
      <c r="B120" s="513" t="s">
        <v>136</v>
      </c>
      <c r="C120" s="546">
        <f t="shared" ref="C120:N120" si="28">IF(ISNUMBER(C68),IF(C68=0,0,IF(ISNUMBER(C94),C68*C94/$C$62,"n.d.")),"n.d.")</f>
        <v>1616382.4040000001</v>
      </c>
      <c r="D120" s="546">
        <f t="shared" si="28"/>
        <v>1318205.6159999999</v>
      </c>
      <c r="E120" s="546">
        <f t="shared" si="28"/>
        <v>0</v>
      </c>
      <c r="F120" s="546">
        <f t="shared" si="28"/>
        <v>0</v>
      </c>
      <c r="G120" s="546">
        <f t="shared" si="28"/>
        <v>1412169.5120000001</v>
      </c>
      <c r="H120" s="546">
        <f t="shared" si="28"/>
        <v>543200.313968</v>
      </c>
      <c r="I120" s="546">
        <f t="shared" si="28"/>
        <v>1479767.5152</v>
      </c>
      <c r="J120" s="546">
        <f t="shared" si="28"/>
        <v>2277525.12</v>
      </c>
      <c r="K120" s="546">
        <f t="shared" si="28"/>
        <v>2255279.52</v>
      </c>
      <c r="L120" s="546">
        <f t="shared" si="28"/>
        <v>2340980.14176</v>
      </c>
      <c r="M120" s="546">
        <f t="shared" si="28"/>
        <v>1897051.9776000001</v>
      </c>
      <c r="N120" s="546">
        <f t="shared" si="28"/>
        <v>1204935.4512</v>
      </c>
      <c r="O120" s="548"/>
    </row>
    <row r="121" spans="1:15" ht="21.75" customHeight="1" x14ac:dyDescent="0.55000000000000004">
      <c r="A121" s="513" t="s">
        <v>458</v>
      </c>
      <c r="B121" s="513" t="s">
        <v>136</v>
      </c>
      <c r="C121" s="546">
        <f t="shared" ref="C121:N121" si="29">IF(ISNUMBER(C69),IF(C69=0,0,IF(ISNUMBER(C95),C69*C95,"n.d.")),"n.d.")</f>
        <v>1238396.544</v>
      </c>
      <c r="D121" s="546">
        <f t="shared" si="29"/>
        <v>1269465.057</v>
      </c>
      <c r="E121" s="546">
        <f t="shared" si="29"/>
        <v>521141.79599999997</v>
      </c>
      <c r="F121" s="546">
        <f t="shared" si="29"/>
        <v>400350.06899999996</v>
      </c>
      <c r="G121" s="546">
        <f t="shared" si="29"/>
        <v>1296829.737</v>
      </c>
      <c r="H121" s="546">
        <f t="shared" si="29"/>
        <v>1142086.05</v>
      </c>
      <c r="I121" s="546">
        <f t="shared" si="29"/>
        <v>1221168.8160000001</v>
      </c>
      <c r="J121" s="546">
        <f t="shared" si="29"/>
        <v>166730.38199999998</v>
      </c>
      <c r="K121" s="546">
        <f t="shared" si="29"/>
        <v>43104.851999999999</v>
      </c>
      <c r="L121" s="546">
        <f t="shared" si="29"/>
        <v>959783.32799999986</v>
      </c>
      <c r="M121" s="546">
        <f t="shared" si="29"/>
        <v>586018.06200000003</v>
      </c>
      <c r="N121" s="546">
        <f t="shared" si="29"/>
        <v>1492421.5529999998</v>
      </c>
      <c r="O121" s="548"/>
    </row>
    <row r="122" spans="1:15" ht="21.75" customHeight="1" x14ac:dyDescent="0.55000000000000004">
      <c r="A122" s="513" t="s">
        <v>459</v>
      </c>
      <c r="B122" s="513" t="s">
        <v>136</v>
      </c>
      <c r="C122" s="546">
        <f t="shared" ref="C122:N122" si="30">IF(ISNUMBER(C70),IF(C70=0,0,IF(ISNUMBER(C96),C70*C96/$C$62,"n.d.")),"n.d.")</f>
        <v>775364.62639999995</v>
      </c>
      <c r="D122" s="546">
        <f t="shared" si="30"/>
        <v>547765.4</v>
      </c>
      <c r="E122" s="546">
        <f t="shared" si="30"/>
        <v>1617770.024</v>
      </c>
      <c r="F122" s="546">
        <f t="shared" si="30"/>
        <v>1670012.4760799999</v>
      </c>
      <c r="G122" s="546">
        <f t="shared" si="30"/>
        <v>888723.72160000005</v>
      </c>
      <c r="H122" s="546">
        <f t="shared" si="30"/>
        <v>1177333.7742087999</v>
      </c>
      <c r="I122" s="546">
        <f t="shared" si="30"/>
        <v>688054.87919999997</v>
      </c>
      <c r="J122" s="546">
        <f t="shared" si="30"/>
        <v>1807361.2439999999</v>
      </c>
      <c r="K122" s="546">
        <f t="shared" si="30"/>
        <v>1875049.28</v>
      </c>
      <c r="L122" s="546">
        <f t="shared" si="30"/>
        <v>1946301.15264</v>
      </c>
      <c r="M122" s="546">
        <f t="shared" si="30"/>
        <v>1302860.3951999999</v>
      </c>
      <c r="N122" s="546">
        <f t="shared" si="30"/>
        <v>326610.8248</v>
      </c>
      <c r="O122" s="548"/>
    </row>
    <row r="123" spans="1:15" ht="21.75" customHeight="1" x14ac:dyDescent="0.55000000000000004">
      <c r="A123" s="513" t="s">
        <v>460</v>
      </c>
      <c r="B123" s="513" t="s">
        <v>136</v>
      </c>
      <c r="C123" s="546">
        <f t="shared" ref="C123:N123" si="31">IF(ISNUMBER(C71),IF(C71=0,0,IF(ISNUMBER(C97),C71*C97,"n.d.")),"n.d.")</f>
        <v>5969.88</v>
      </c>
      <c r="D123" s="546">
        <f t="shared" si="31"/>
        <v>16788.528000000002</v>
      </c>
      <c r="E123" s="546">
        <f t="shared" si="31"/>
        <v>488.38200000000006</v>
      </c>
      <c r="F123" s="546">
        <f t="shared" si="31"/>
        <v>0</v>
      </c>
      <c r="G123" s="546">
        <f t="shared" si="31"/>
        <v>0</v>
      </c>
      <c r="H123" s="546">
        <f t="shared" si="31"/>
        <v>0</v>
      </c>
      <c r="I123" s="546">
        <f t="shared" si="31"/>
        <v>0</v>
      </c>
      <c r="J123" s="546">
        <f t="shared" si="31"/>
        <v>0</v>
      </c>
      <c r="K123" s="546">
        <f t="shared" si="31"/>
        <v>0</v>
      </c>
      <c r="L123" s="546">
        <f t="shared" si="31"/>
        <v>0</v>
      </c>
      <c r="M123" s="546">
        <f t="shared" si="31"/>
        <v>0</v>
      </c>
      <c r="N123" s="546">
        <f t="shared" si="31"/>
        <v>0</v>
      </c>
      <c r="O123" s="548"/>
    </row>
    <row r="124" spans="1:15" ht="21.75" customHeight="1" x14ac:dyDescent="0.55000000000000004">
      <c r="A124" s="513" t="s">
        <v>461</v>
      </c>
      <c r="B124" s="513" t="s">
        <v>136</v>
      </c>
      <c r="C124" s="546">
        <f t="shared" ref="C124:N124" si="32">IF(ISNUMBER(C72),IF(C72=0,0,IF(ISNUMBER(C98),C72*C98,"n.d.")),"n.d.")</f>
        <v>172616.15699999998</v>
      </c>
      <c r="D124" s="546">
        <f t="shared" si="32"/>
        <v>522807.32699999993</v>
      </c>
      <c r="E124" s="546">
        <f t="shared" si="32"/>
        <v>593872.20899999992</v>
      </c>
      <c r="F124" s="546">
        <f t="shared" si="32"/>
        <v>534246.17399999988</v>
      </c>
      <c r="G124" s="546">
        <f t="shared" si="32"/>
        <v>552975.94799999997</v>
      </c>
      <c r="H124" s="546">
        <f t="shared" si="32"/>
        <v>598856.32799999998</v>
      </c>
      <c r="I124" s="546">
        <f t="shared" si="32"/>
        <v>524533.65299999993</v>
      </c>
      <c r="J124" s="546">
        <f t="shared" si="32"/>
        <v>595708.91099999996</v>
      </c>
      <c r="K124" s="546">
        <f t="shared" si="32"/>
        <v>474901.11899999995</v>
      </c>
      <c r="L124" s="546">
        <f t="shared" si="32"/>
        <v>552910.30199999991</v>
      </c>
      <c r="M124" s="546">
        <f t="shared" si="32"/>
        <v>579348.25199999998</v>
      </c>
      <c r="N124" s="546">
        <f t="shared" si="32"/>
        <v>515538.261</v>
      </c>
      <c r="O124" s="548"/>
    </row>
    <row r="125" spans="1:15" ht="21.75" customHeight="1" x14ac:dyDescent="0.55000000000000004">
      <c r="A125" s="513" t="s">
        <v>462</v>
      </c>
      <c r="B125" s="513" t="s">
        <v>136</v>
      </c>
      <c r="C125" s="546">
        <f t="shared" ref="C125:N125" si="33">IF(ISNUMBER(C73),IF(C73=0,0,IF(ISNUMBER(C99),C73*C99,"n.d.")),"n.d.")</f>
        <v>199497.21876000002</v>
      </c>
      <c r="D125" s="546">
        <f t="shared" si="33"/>
        <v>394381.86480000004</v>
      </c>
      <c r="E125" s="546">
        <f t="shared" si="33"/>
        <v>746583.62940000009</v>
      </c>
      <c r="F125" s="546">
        <f t="shared" si="33"/>
        <v>590622.71687999996</v>
      </c>
      <c r="G125" s="546">
        <f t="shared" si="33"/>
        <v>113090.3928</v>
      </c>
      <c r="H125" s="546">
        <f t="shared" si="33"/>
        <v>150528.72743999999</v>
      </c>
      <c r="I125" s="546">
        <f t="shared" si="33"/>
        <v>220054.00788000002</v>
      </c>
      <c r="J125" s="546">
        <f t="shared" si="33"/>
        <v>111687.00731999999</v>
      </c>
      <c r="K125" s="546">
        <f t="shared" si="33"/>
        <v>167996.65428000002</v>
      </c>
      <c r="L125" s="546">
        <f t="shared" si="33"/>
        <v>329448.52332000004</v>
      </c>
      <c r="M125" s="546">
        <f t="shared" si="33"/>
        <v>97029.792719999998</v>
      </c>
      <c r="N125" s="546">
        <f t="shared" si="33"/>
        <v>8230.0881600000012</v>
      </c>
      <c r="O125" s="548"/>
    </row>
    <row r="126" spans="1:15" ht="21.75" customHeight="1" x14ac:dyDescent="0.55000000000000004">
      <c r="A126" s="513" t="s">
        <v>463</v>
      </c>
      <c r="B126" s="513" t="s">
        <v>136</v>
      </c>
      <c r="C126" s="546">
        <f t="shared" ref="C126:N126" si="34">IF(ISNUMBER(C74),IF(C74=0,0,IF(ISNUMBER(C100),C74*C100/$C$62,"n.d.")),"n.d.")</f>
        <v>828347.31823920005</v>
      </c>
      <c r="D126" s="546">
        <f t="shared" si="34"/>
        <v>459242.94937320001</v>
      </c>
      <c r="E126" s="546">
        <f t="shared" si="34"/>
        <v>276994.14047639997</v>
      </c>
      <c r="F126" s="546">
        <f t="shared" si="34"/>
        <v>425928.93500520004</v>
      </c>
      <c r="G126" s="546">
        <f t="shared" si="34"/>
        <v>838734.99558720004</v>
      </c>
      <c r="H126" s="546">
        <f t="shared" si="34"/>
        <v>898628.41330680007</v>
      </c>
      <c r="I126" s="546">
        <f t="shared" si="34"/>
        <v>833125.86528000003</v>
      </c>
      <c r="J126" s="546">
        <f t="shared" si="34"/>
        <v>834534.48717720003</v>
      </c>
      <c r="K126" s="546">
        <f t="shared" si="34"/>
        <v>786334.56414720009</v>
      </c>
      <c r="L126" s="546">
        <f t="shared" si="34"/>
        <v>596867.9376348001</v>
      </c>
      <c r="M126" s="546">
        <f t="shared" si="34"/>
        <v>529115.57395560003</v>
      </c>
      <c r="N126" s="546">
        <f t="shared" si="34"/>
        <v>239138.4358482</v>
      </c>
      <c r="O126" s="548"/>
    </row>
    <row r="127" spans="1:15" ht="21.75" customHeight="1" x14ac:dyDescent="0.55000000000000004">
      <c r="A127" s="513" t="s">
        <v>464</v>
      </c>
      <c r="B127" s="513" t="s">
        <v>136</v>
      </c>
      <c r="C127" s="546">
        <f t="shared" ref="C127:N127" si="35">IF(ISNUMBER(C75),IF(C75=0,0,IF(ISNUMBER(C101),C75*C101,"n.d.")),"n.d.")</f>
        <v>0</v>
      </c>
      <c r="D127" s="546">
        <f t="shared" si="35"/>
        <v>0</v>
      </c>
      <c r="E127" s="546">
        <f t="shared" si="35"/>
        <v>0</v>
      </c>
      <c r="F127" s="546">
        <f t="shared" si="35"/>
        <v>0</v>
      </c>
      <c r="G127" s="546">
        <f t="shared" si="35"/>
        <v>27376.768440000003</v>
      </c>
      <c r="H127" s="546">
        <f t="shared" si="35"/>
        <v>109896.91272000001</v>
      </c>
      <c r="I127" s="546">
        <f t="shared" si="35"/>
        <v>258004.65096000006</v>
      </c>
      <c r="J127" s="546">
        <f t="shared" si="35"/>
        <v>90711.573120000001</v>
      </c>
      <c r="K127" s="546">
        <f t="shared" si="35"/>
        <v>171122.84279999998</v>
      </c>
      <c r="L127" s="546">
        <f t="shared" si="35"/>
        <v>456129.14507999999</v>
      </c>
      <c r="M127" s="546">
        <f t="shared" si="35"/>
        <v>218412.05903999999</v>
      </c>
      <c r="N127" s="546">
        <f t="shared" si="35"/>
        <v>43800.719760000007</v>
      </c>
      <c r="O127" s="548"/>
    </row>
    <row r="128" spans="1:15" ht="21.75" customHeight="1" x14ac:dyDescent="0.55000000000000004">
      <c r="A128" s="513" t="s">
        <v>465</v>
      </c>
      <c r="B128" s="513" t="s">
        <v>136</v>
      </c>
      <c r="C128" s="546">
        <f t="shared" ref="C128:N128" si="36">IF(ISNUMBER(C76),IF(C76=0,0,IF(ISNUMBER(C102),C76*C102/$C$62,"n.d.")),"n.d.")</f>
        <v>0</v>
      </c>
      <c r="D128" s="546">
        <f t="shared" si="36"/>
        <v>0</v>
      </c>
      <c r="E128" s="546">
        <f t="shared" si="36"/>
        <v>0</v>
      </c>
      <c r="F128" s="546">
        <f t="shared" si="36"/>
        <v>0</v>
      </c>
      <c r="G128" s="546">
        <f t="shared" si="36"/>
        <v>370212.22626000002</v>
      </c>
      <c r="H128" s="546">
        <f t="shared" si="36"/>
        <v>935003.78254079993</v>
      </c>
      <c r="I128" s="546">
        <f t="shared" si="36"/>
        <v>560884.81226699997</v>
      </c>
      <c r="J128" s="546">
        <f t="shared" si="36"/>
        <v>484522.82306099997</v>
      </c>
      <c r="K128" s="546">
        <f t="shared" si="36"/>
        <v>691323.68123880005</v>
      </c>
      <c r="L128" s="546">
        <f t="shared" si="36"/>
        <v>549079.08462119999</v>
      </c>
      <c r="M128" s="546">
        <f t="shared" si="36"/>
        <v>797601.93419160007</v>
      </c>
      <c r="N128" s="546">
        <f t="shared" si="36"/>
        <v>495544.90859519999</v>
      </c>
      <c r="O128" s="548"/>
    </row>
    <row r="129" spans="1:15" ht="21.75" customHeight="1" x14ac:dyDescent="0.55000000000000004">
      <c r="A129" s="513" t="s">
        <v>466</v>
      </c>
      <c r="B129" s="513" t="s">
        <v>136</v>
      </c>
      <c r="C129" s="546">
        <f t="shared" ref="C129:N129" si="37">IF(ISNUMBER(C77),IF(C77=0,0,IF(ISNUMBER(C103),C77*C103,"n.d.")),"n.d.")</f>
        <v>809207.15399999998</v>
      </c>
      <c r="D129" s="546">
        <f t="shared" si="37"/>
        <v>888831.84599999979</v>
      </c>
      <c r="E129" s="546">
        <f t="shared" si="37"/>
        <v>0</v>
      </c>
      <c r="F129" s="546">
        <f t="shared" si="37"/>
        <v>0</v>
      </c>
      <c r="G129" s="546">
        <f t="shared" si="37"/>
        <v>0</v>
      </c>
      <c r="H129" s="546">
        <f t="shared" si="37"/>
        <v>507128.58</v>
      </c>
      <c r="I129" s="546">
        <f t="shared" si="37"/>
        <v>1602115.7039999999</v>
      </c>
      <c r="J129" s="546">
        <f t="shared" si="37"/>
        <v>1623734.469</v>
      </c>
      <c r="K129" s="546">
        <f t="shared" si="37"/>
        <v>1961795.5559999999</v>
      </c>
      <c r="L129" s="546">
        <f t="shared" si="37"/>
        <v>1710748.872</v>
      </c>
      <c r="M129" s="546">
        <f t="shared" si="37"/>
        <v>1763754.8040000002</v>
      </c>
      <c r="N129" s="546">
        <f t="shared" si="37"/>
        <v>1092222.1170000001</v>
      </c>
      <c r="O129" s="548"/>
    </row>
    <row r="130" spans="1:15" ht="21.75" customHeight="1" x14ac:dyDescent="0.55000000000000004">
      <c r="A130" s="513" t="s">
        <v>467</v>
      </c>
      <c r="B130" s="513" t="s">
        <v>136</v>
      </c>
      <c r="C130" s="546">
        <f t="shared" ref="C130:N130" si="38">IF(ISNUMBER(C78),IF(C78=0,0,IF(ISNUMBER(C104),C78*C104,"n.d.")),"n.d.")</f>
        <v>403319.35200000001</v>
      </c>
      <c r="D130" s="546">
        <f t="shared" si="38"/>
        <v>305114.136</v>
      </c>
      <c r="E130" s="546">
        <f t="shared" si="38"/>
        <v>444128.57400000002</v>
      </c>
      <c r="F130" s="546">
        <f t="shared" si="38"/>
        <v>732445.48800000001</v>
      </c>
      <c r="G130" s="546">
        <f t="shared" si="38"/>
        <v>722071.20000000007</v>
      </c>
      <c r="H130" s="546">
        <f t="shared" si="38"/>
        <v>1119757.2540000002</v>
      </c>
      <c r="I130" s="546">
        <f t="shared" si="38"/>
        <v>1072973.736</v>
      </c>
      <c r="J130" s="546">
        <f t="shared" si="38"/>
        <v>903140.58600000013</v>
      </c>
      <c r="K130" s="546">
        <f t="shared" si="38"/>
        <v>566561.34600000002</v>
      </c>
      <c r="L130" s="546">
        <f t="shared" si="38"/>
        <v>1004958.6420000001</v>
      </c>
      <c r="M130" s="546">
        <f t="shared" si="38"/>
        <v>902299.61400000006</v>
      </c>
      <c r="N130" s="546">
        <f t="shared" si="38"/>
        <v>568490.31000000006</v>
      </c>
      <c r="O130" s="548"/>
    </row>
    <row r="131" spans="1:15" ht="21.75" customHeight="1" x14ac:dyDescent="0.55000000000000004">
      <c r="A131" s="513" t="s">
        <v>468</v>
      </c>
      <c r="B131" s="513" t="s">
        <v>136</v>
      </c>
      <c r="C131" s="546">
        <f t="shared" ref="C131:N131" si="39">IF(ISNUMBER(C79),IF(C79=0,0,IF(ISNUMBER(C105),C79*C105,"n.d.")),"n.d.")</f>
        <v>1019434.5</v>
      </c>
      <c r="D131" s="546">
        <f t="shared" si="39"/>
        <v>968423.39999999991</v>
      </c>
      <c r="E131" s="546">
        <f t="shared" si="39"/>
        <v>922937.4</v>
      </c>
      <c r="F131" s="546">
        <f t="shared" si="39"/>
        <v>823139.1</v>
      </c>
      <c r="G131" s="546">
        <f t="shared" si="39"/>
        <v>1032513.2999999999</v>
      </c>
      <c r="H131" s="546">
        <f t="shared" si="39"/>
        <v>686996.1</v>
      </c>
      <c r="I131" s="546">
        <f t="shared" si="39"/>
        <v>863736.29999999993</v>
      </c>
      <c r="J131" s="546">
        <f t="shared" si="39"/>
        <v>891223.2</v>
      </c>
      <c r="K131" s="546">
        <f t="shared" si="39"/>
        <v>830932.2</v>
      </c>
      <c r="L131" s="546">
        <f t="shared" si="39"/>
        <v>1539279</v>
      </c>
      <c r="M131" s="546">
        <f t="shared" si="39"/>
        <v>1095696</v>
      </c>
      <c r="N131" s="546">
        <f t="shared" si="39"/>
        <v>1622092.5</v>
      </c>
      <c r="O131" s="548"/>
    </row>
    <row r="132" spans="1:15" ht="21.75" customHeight="1" x14ac:dyDescent="0.55000000000000004">
      <c r="A132" s="513" t="s">
        <v>469</v>
      </c>
      <c r="B132" s="513" t="s">
        <v>136</v>
      </c>
      <c r="C132" s="546">
        <f t="shared" ref="C132:N132" si="40">IF(ISNUMBER(C80),IF(C80=0,0,IF(ISNUMBER(C106),C80*C106,"n.d.")),"n.d.")</f>
        <v>102522.68400000001</v>
      </c>
      <c r="D132" s="546">
        <f t="shared" si="40"/>
        <v>62324.250000000007</v>
      </c>
      <c r="E132" s="546">
        <f t="shared" si="40"/>
        <v>150150.76213799999</v>
      </c>
      <c r="F132" s="546">
        <f t="shared" si="40"/>
        <v>169295.50200000001</v>
      </c>
      <c r="G132" s="546">
        <f t="shared" si="40"/>
        <v>49376.952000000005</v>
      </c>
      <c r="H132" s="546">
        <f t="shared" si="40"/>
        <v>55155.702000000005</v>
      </c>
      <c r="I132" s="546">
        <f t="shared" si="40"/>
        <v>94202.388000000006</v>
      </c>
      <c r="J132" s="546">
        <f t="shared" si="40"/>
        <v>57054.444000000003</v>
      </c>
      <c r="K132" s="546">
        <f t="shared" si="40"/>
        <v>30556.788000000004</v>
      </c>
      <c r="L132" s="546">
        <f t="shared" si="40"/>
        <v>79468.680000000008</v>
      </c>
      <c r="M132" s="546">
        <f t="shared" si="40"/>
        <v>59720.19</v>
      </c>
      <c r="N132" s="546">
        <f t="shared" si="40"/>
        <v>38003.544000000002</v>
      </c>
      <c r="O132" s="548"/>
    </row>
    <row r="133" spans="1:15" ht="21.75" customHeight="1" x14ac:dyDescent="0.55000000000000004">
      <c r="A133" s="513" t="s">
        <v>470</v>
      </c>
      <c r="B133" s="513" t="s">
        <v>136</v>
      </c>
      <c r="C133" s="546">
        <f t="shared" ref="C133:N133" si="41">IF(ISNUMBER(C81),IF(C81=0,0,IF(ISNUMBER(C107),C81*C107,"n.d.")),"n.d.")</f>
        <v>76162.47600000001</v>
      </c>
      <c r="D133" s="546">
        <f t="shared" si="41"/>
        <v>81424.002000000008</v>
      </c>
      <c r="E133" s="546">
        <f t="shared" si="41"/>
        <v>254567.91000000003</v>
      </c>
      <c r="F133" s="546">
        <f t="shared" si="41"/>
        <v>374121.72600000002</v>
      </c>
      <c r="G133" s="546">
        <f t="shared" si="41"/>
        <v>93092.454000000012</v>
      </c>
      <c r="H133" s="546">
        <f t="shared" si="41"/>
        <v>108041.16600000001</v>
      </c>
      <c r="I133" s="546">
        <f t="shared" si="41"/>
        <v>118505.016</v>
      </c>
      <c r="J133" s="546">
        <f t="shared" si="41"/>
        <v>123645.10200000001</v>
      </c>
      <c r="K133" s="546">
        <f t="shared" si="41"/>
        <v>50101.728000000003</v>
      </c>
      <c r="L133" s="546">
        <f t="shared" si="41"/>
        <v>164731.152</v>
      </c>
      <c r="M133" s="546">
        <f t="shared" si="41"/>
        <v>127452.66</v>
      </c>
      <c r="N133" s="546">
        <f t="shared" si="41"/>
        <v>83870.880000000005</v>
      </c>
      <c r="O133" s="548"/>
    </row>
    <row r="134" spans="1:15" ht="21.75" customHeight="1" x14ac:dyDescent="0.55000000000000004">
      <c r="A134" s="513" t="s">
        <v>471</v>
      </c>
      <c r="B134" s="513" t="s">
        <v>136</v>
      </c>
      <c r="C134" s="546">
        <f t="shared" ref="C134:N134" si="42">IF(ISNUMBER(C82),IF(C82=0,0,IF(ISNUMBER(C108),C82*C108/$C$62,"n.d.")),"n.d.")</f>
        <v>0</v>
      </c>
      <c r="D134" s="546">
        <f t="shared" si="42"/>
        <v>0</v>
      </c>
      <c r="E134" s="546">
        <f t="shared" si="42"/>
        <v>0</v>
      </c>
      <c r="F134" s="546">
        <f t="shared" si="42"/>
        <v>0</v>
      </c>
      <c r="G134" s="546">
        <f t="shared" si="42"/>
        <v>0</v>
      </c>
      <c r="H134" s="546">
        <f t="shared" si="42"/>
        <v>0</v>
      </c>
      <c r="I134" s="546">
        <f t="shared" si="42"/>
        <v>0</v>
      </c>
      <c r="J134" s="546">
        <f t="shared" si="42"/>
        <v>0</v>
      </c>
      <c r="K134" s="546">
        <f t="shared" si="42"/>
        <v>0</v>
      </c>
      <c r="L134" s="546">
        <f t="shared" si="42"/>
        <v>0</v>
      </c>
      <c r="M134" s="546">
        <f t="shared" si="42"/>
        <v>0</v>
      </c>
      <c r="N134" s="546">
        <f t="shared" si="42"/>
        <v>0</v>
      </c>
      <c r="O134" s="548"/>
    </row>
    <row r="135" spans="1:15" ht="21.75" customHeight="1" x14ac:dyDescent="0.55000000000000004">
      <c r="A135" s="513" t="s">
        <v>472</v>
      </c>
      <c r="B135" s="513" t="s">
        <v>136</v>
      </c>
      <c r="C135" s="546">
        <f t="shared" ref="C135:N135" si="43">IF(ISNUMBER(C83),IF(C83=0,0,IF(ISNUMBER(C109),C83*C109,"n.d.")),"n.d.")</f>
        <v>457139.56176000007</v>
      </c>
      <c r="D135" s="546">
        <f t="shared" si="43"/>
        <v>375790.55724000005</v>
      </c>
      <c r="E135" s="546">
        <f t="shared" si="43"/>
        <v>582588.64944000007</v>
      </c>
      <c r="F135" s="546">
        <f t="shared" si="43"/>
        <v>655122.86531999998</v>
      </c>
      <c r="G135" s="546">
        <f t="shared" si="43"/>
        <v>268739.59643999999</v>
      </c>
      <c r="H135" s="546">
        <f t="shared" si="43"/>
        <v>250663.03164</v>
      </c>
      <c r="I135" s="546">
        <f t="shared" si="43"/>
        <v>265726.02419999999</v>
      </c>
      <c r="J135" s="546">
        <f t="shared" si="43"/>
        <v>290735.88012000005</v>
      </c>
      <c r="K135" s="546">
        <f t="shared" si="43"/>
        <v>163033.94520000005</v>
      </c>
      <c r="L135" s="546">
        <f t="shared" si="43"/>
        <v>334484.72568000003</v>
      </c>
      <c r="M135" s="546">
        <f t="shared" si="43"/>
        <v>147627.30779999998</v>
      </c>
      <c r="N135" s="546">
        <f t="shared" si="43"/>
        <v>59482.783080000001</v>
      </c>
      <c r="O135" s="548"/>
    </row>
    <row r="136" spans="1:15" ht="21.75" customHeight="1" x14ac:dyDescent="0.55000000000000004">
      <c r="A136" s="513" t="s">
        <v>473</v>
      </c>
      <c r="B136" s="513" t="s">
        <v>136</v>
      </c>
      <c r="C136" s="546">
        <f t="shared" ref="C136:N136" si="44">IF(ISNUMBER(C84),IF(C84=0,0,IF(ISNUMBER(C110),C84*C110,"n.d.")),"n.d.")</f>
        <v>50429.199240000002</v>
      </c>
      <c r="D136" s="546">
        <f t="shared" si="44"/>
        <v>49179.465720000007</v>
      </c>
      <c r="E136" s="546">
        <f t="shared" si="44"/>
        <v>101161.18152000001</v>
      </c>
      <c r="F136" s="546">
        <f t="shared" si="44"/>
        <v>121862.40695999999</v>
      </c>
      <c r="G136" s="546">
        <f t="shared" si="44"/>
        <v>51384.148200000011</v>
      </c>
      <c r="H136" s="546">
        <f t="shared" si="44"/>
        <v>85737.735719999997</v>
      </c>
      <c r="I136" s="546">
        <f t="shared" si="44"/>
        <v>51717.360240000009</v>
      </c>
      <c r="J136" s="546">
        <f t="shared" si="44"/>
        <v>85441.096440000023</v>
      </c>
      <c r="K136" s="546">
        <f t="shared" si="44"/>
        <v>51798.33036</v>
      </c>
      <c r="L136" s="546">
        <f t="shared" si="44"/>
        <v>125123.12064000001</v>
      </c>
      <c r="M136" s="546">
        <f t="shared" si="44"/>
        <v>80168.765040000013</v>
      </c>
      <c r="N136" s="546">
        <f t="shared" si="44"/>
        <v>48231.240120000002</v>
      </c>
      <c r="O136" s="548"/>
    </row>
    <row r="137" spans="1:15" ht="21.75" customHeight="1" x14ac:dyDescent="0.55000000000000004">
      <c r="A137" s="513" t="s">
        <v>474</v>
      </c>
      <c r="B137" s="513" t="s">
        <v>136</v>
      </c>
      <c r="C137" s="546">
        <f t="shared" ref="C137:N137" si="45">IF(ISNUMBER(C85),IF(C85=0,0,IF(ISNUMBER(C111),C85*C111,"n.d.")),"n.d.")</f>
        <v>24699.654000000002</v>
      </c>
      <c r="D137" s="546">
        <f t="shared" si="45"/>
        <v>17392.578840000002</v>
      </c>
      <c r="E137" s="546">
        <f t="shared" si="45"/>
        <v>41206.662000000004</v>
      </c>
      <c r="F137" s="546">
        <f t="shared" si="45"/>
        <v>52968.832560000003</v>
      </c>
      <c r="G137" s="546">
        <f t="shared" si="45"/>
        <v>21959.247240000004</v>
      </c>
      <c r="H137" s="546">
        <f t="shared" si="45"/>
        <v>31124.114280000002</v>
      </c>
      <c r="I137" s="546">
        <f t="shared" si="45"/>
        <v>29444.491440000002</v>
      </c>
      <c r="J137" s="546">
        <f t="shared" si="45"/>
        <v>42322.971600000004</v>
      </c>
      <c r="K137" s="546">
        <f t="shared" si="45"/>
        <v>17052.121800000001</v>
      </c>
      <c r="L137" s="546">
        <f t="shared" si="45"/>
        <v>56705.977440000002</v>
      </c>
      <c r="M137" s="546">
        <f t="shared" si="45"/>
        <v>46732.684320000008</v>
      </c>
      <c r="N137" s="546">
        <f t="shared" si="45"/>
        <v>25665.615360000003</v>
      </c>
      <c r="O137" s="548"/>
    </row>
    <row r="138" spans="1:15" ht="21.75" customHeight="1" x14ac:dyDescent="0.55000000000000004">
      <c r="A138" s="513" t="s">
        <v>475</v>
      </c>
      <c r="B138" s="513" t="s">
        <v>136</v>
      </c>
      <c r="C138" s="546">
        <f t="shared" ref="C138:N138" si="46">IF(ISNUMBER(C86),IF(C86=0,0,IF(ISNUMBER(C112),C86*C112,"n.d.")),"n.d.")</f>
        <v>0</v>
      </c>
      <c r="D138" s="546">
        <f t="shared" si="46"/>
        <v>0</v>
      </c>
      <c r="E138" s="546">
        <f t="shared" si="46"/>
        <v>0</v>
      </c>
      <c r="F138" s="546">
        <f t="shared" si="46"/>
        <v>0</v>
      </c>
      <c r="G138" s="546">
        <f t="shared" si="46"/>
        <v>0</v>
      </c>
      <c r="H138" s="546">
        <f t="shared" si="46"/>
        <v>0</v>
      </c>
      <c r="I138" s="546">
        <f t="shared" si="46"/>
        <v>0</v>
      </c>
      <c r="J138" s="546">
        <f t="shared" si="46"/>
        <v>0</v>
      </c>
      <c r="K138" s="546">
        <f t="shared" si="46"/>
        <v>0</v>
      </c>
      <c r="L138" s="546">
        <f t="shared" si="46"/>
        <v>0</v>
      </c>
      <c r="M138" s="546">
        <f t="shared" si="46"/>
        <v>0</v>
      </c>
      <c r="N138" s="546">
        <f t="shared" si="46"/>
        <v>0</v>
      </c>
      <c r="O138" s="548"/>
    </row>
    <row r="139" spans="1:15" ht="21.75" customHeight="1" x14ac:dyDescent="0.55000000000000004">
      <c r="A139" s="513" t="s">
        <v>476</v>
      </c>
      <c r="B139" s="513" t="s">
        <v>136</v>
      </c>
      <c r="C139" s="546">
        <f t="shared" ref="C139:N139" si="47">IF(ISNUMBER(C87),IF(C87=0,0,IF(ISNUMBER(C113),C87*C113,"n.d.")),"n.d.")</f>
        <v>27108.761399999999</v>
      </c>
      <c r="D139" s="546">
        <f t="shared" si="47"/>
        <v>19514.668320000004</v>
      </c>
      <c r="E139" s="546">
        <f t="shared" si="47"/>
        <v>54548.358480000003</v>
      </c>
      <c r="F139" s="546">
        <f t="shared" si="47"/>
        <v>79483.330080000014</v>
      </c>
      <c r="G139" s="546">
        <f t="shared" si="47"/>
        <v>29805.234480000003</v>
      </c>
      <c r="H139" s="546">
        <f t="shared" si="47"/>
        <v>47523.606480000002</v>
      </c>
      <c r="I139" s="546">
        <f t="shared" si="47"/>
        <v>50978.891880000003</v>
      </c>
      <c r="J139" s="546">
        <f t="shared" si="47"/>
        <v>48005.254079999999</v>
      </c>
      <c r="K139" s="546">
        <f t="shared" si="47"/>
        <v>21921.399360000003</v>
      </c>
      <c r="L139" s="546">
        <f t="shared" si="47"/>
        <v>75533.472000000009</v>
      </c>
      <c r="M139" s="546">
        <f t="shared" si="47"/>
        <v>55066.347000000002</v>
      </c>
      <c r="N139" s="546">
        <f t="shared" si="47"/>
        <v>5562.4791600000008</v>
      </c>
      <c r="O139" s="548"/>
    </row>
    <row r="140" spans="1:15" ht="21.75" customHeight="1" x14ac:dyDescent="0.55000000000000004">
      <c r="A140" s="513" t="s">
        <v>477</v>
      </c>
      <c r="B140" s="513" t="s">
        <v>136</v>
      </c>
      <c r="C140" s="546">
        <f t="shared" ref="C140:N140" si="48">IF(ISNUMBER(C88),IF(C88=0,0,IF(ISNUMBER(C114),C88*C114,"n.d.")),"n.d.")</f>
        <v>460925.56692000001</v>
      </c>
      <c r="D140" s="546">
        <f t="shared" si="48"/>
        <v>200305.35503999999</v>
      </c>
      <c r="E140" s="546">
        <f t="shared" si="48"/>
        <v>236629.75644</v>
      </c>
      <c r="F140" s="546">
        <f t="shared" si="48"/>
        <v>230672.16396000001</v>
      </c>
      <c r="G140" s="546">
        <f t="shared" si="48"/>
        <v>59238.597600000008</v>
      </c>
      <c r="H140" s="546">
        <f t="shared" si="48"/>
        <v>83581.971480000007</v>
      </c>
      <c r="I140" s="546">
        <f t="shared" si="48"/>
        <v>58031.928359999998</v>
      </c>
      <c r="J140" s="546">
        <f t="shared" si="48"/>
        <v>56556.150840000002</v>
      </c>
      <c r="K140" s="546">
        <f t="shared" si="48"/>
        <v>20192.220720000001</v>
      </c>
      <c r="L140" s="546">
        <f t="shared" si="48"/>
        <v>67508.330400000006</v>
      </c>
      <c r="M140" s="546">
        <f t="shared" si="48"/>
        <v>65102.99040000001</v>
      </c>
      <c r="N140" s="546">
        <f t="shared" si="48"/>
        <v>125048.06244000001</v>
      </c>
      <c r="O140" s="548"/>
    </row>
    <row r="141" spans="1:15" ht="21.75" customHeight="1" x14ac:dyDescent="0.55000000000000004">
      <c r="A141" s="513"/>
      <c r="B141" s="513"/>
      <c r="C141" s="513"/>
      <c r="D141" s="513"/>
      <c r="E141" s="513"/>
      <c r="F141" s="513"/>
      <c r="G141" s="513"/>
      <c r="H141" s="513"/>
      <c r="I141" s="513"/>
      <c r="J141" s="513"/>
      <c r="K141" s="513"/>
      <c r="L141" s="513"/>
      <c r="M141" s="513"/>
      <c r="N141" s="513"/>
      <c r="O141" s="513"/>
    </row>
    <row r="142" spans="1:15" ht="21.75" customHeight="1" x14ac:dyDescent="0.55000000000000004">
      <c r="A142" s="513"/>
      <c r="B142" s="513"/>
      <c r="C142" s="513"/>
      <c r="D142" s="513"/>
      <c r="E142" s="513"/>
      <c r="F142" s="513"/>
      <c r="G142" s="513"/>
      <c r="H142" s="513"/>
      <c r="I142" s="513"/>
      <c r="J142" s="513"/>
      <c r="K142" s="513"/>
      <c r="L142" s="513"/>
      <c r="M142" s="513"/>
      <c r="N142" s="513"/>
      <c r="O142" s="513"/>
    </row>
    <row r="143" spans="1:15" ht="21.75" customHeight="1" x14ac:dyDescent="0.55000000000000004">
      <c r="A143" s="513"/>
      <c r="B143" s="513"/>
      <c r="C143" s="513"/>
      <c r="D143" s="513"/>
      <c r="E143" s="513"/>
      <c r="F143" s="513"/>
      <c r="G143" s="513"/>
      <c r="H143" s="513"/>
      <c r="I143" s="513"/>
      <c r="J143" s="513"/>
      <c r="K143" s="513"/>
      <c r="L143" s="513"/>
      <c r="M143" s="513"/>
      <c r="N143" s="513"/>
      <c r="O143" s="513"/>
    </row>
    <row r="144" spans="1:15" ht="21.75" customHeight="1" x14ac:dyDescent="0.55000000000000004">
      <c r="A144" s="513"/>
      <c r="B144" s="513"/>
      <c r="C144" s="513"/>
      <c r="D144" s="513"/>
      <c r="E144" s="513"/>
      <c r="F144" s="513"/>
      <c r="G144" s="513"/>
      <c r="H144" s="513"/>
      <c r="I144" s="513"/>
      <c r="J144" s="513"/>
      <c r="K144" s="513"/>
      <c r="L144" s="513"/>
      <c r="M144" s="513"/>
      <c r="N144" s="513"/>
      <c r="O144" s="513"/>
    </row>
    <row r="145" spans="1:15" ht="21.75" customHeight="1" x14ac:dyDescent="0.55000000000000004">
      <c r="A145" s="513"/>
      <c r="B145" s="513"/>
      <c r="C145" s="513"/>
      <c r="D145" s="513"/>
      <c r="E145" s="513"/>
      <c r="F145" s="513"/>
      <c r="G145" s="513"/>
      <c r="H145" s="513"/>
      <c r="I145" s="513"/>
      <c r="J145" s="513"/>
      <c r="K145" s="513"/>
      <c r="L145" s="513"/>
      <c r="M145" s="513"/>
      <c r="N145" s="513"/>
      <c r="O145" s="513"/>
    </row>
    <row r="146" spans="1:15" ht="21.75" customHeight="1" x14ac:dyDescent="0.55000000000000004">
      <c r="A146" s="513"/>
      <c r="B146" s="513"/>
      <c r="C146" s="513"/>
      <c r="D146" s="513"/>
      <c r="E146" s="513"/>
      <c r="F146" s="513"/>
      <c r="G146" s="513"/>
      <c r="H146" s="513"/>
      <c r="I146" s="513"/>
      <c r="J146" s="513"/>
      <c r="K146" s="513"/>
      <c r="L146" s="513"/>
      <c r="M146" s="513"/>
      <c r="N146" s="513"/>
      <c r="O146" s="513"/>
    </row>
    <row r="147" spans="1:15" ht="21.75" customHeight="1" x14ac:dyDescent="0.55000000000000004">
      <c r="A147" s="513"/>
      <c r="B147" s="513"/>
      <c r="C147" s="513"/>
      <c r="D147" s="513"/>
      <c r="E147" s="513"/>
      <c r="F147" s="513"/>
      <c r="G147" s="513"/>
      <c r="H147" s="513"/>
      <c r="I147" s="513"/>
      <c r="J147" s="513"/>
      <c r="K147" s="513"/>
      <c r="L147" s="513"/>
      <c r="M147" s="513"/>
      <c r="N147" s="513"/>
      <c r="O147" s="513"/>
    </row>
    <row r="148" spans="1:15" ht="21.75" customHeight="1" x14ac:dyDescent="0.55000000000000004">
      <c r="A148" s="513"/>
      <c r="B148" s="513"/>
      <c r="C148" s="513"/>
      <c r="D148" s="513"/>
      <c r="E148" s="513"/>
      <c r="F148" s="513"/>
      <c r="G148" s="513"/>
      <c r="H148" s="513"/>
      <c r="I148" s="513"/>
      <c r="J148" s="513"/>
      <c r="K148" s="513"/>
      <c r="L148" s="513"/>
      <c r="M148" s="513"/>
      <c r="N148" s="513"/>
      <c r="O148" s="513"/>
    </row>
    <row r="149" spans="1:15" ht="21.75" customHeight="1" x14ac:dyDescent="0.55000000000000004">
      <c r="A149" s="513"/>
      <c r="B149" s="513"/>
      <c r="C149" s="513"/>
      <c r="D149" s="513"/>
      <c r="E149" s="513"/>
      <c r="F149" s="513"/>
      <c r="G149" s="513"/>
      <c r="H149" s="513"/>
      <c r="I149" s="513"/>
      <c r="J149" s="513"/>
      <c r="K149" s="513"/>
      <c r="L149" s="513"/>
      <c r="M149" s="513"/>
      <c r="N149" s="513"/>
      <c r="O149" s="513"/>
    </row>
    <row r="150" spans="1:15" ht="21.75" customHeight="1" x14ac:dyDescent="0.55000000000000004">
      <c r="A150" s="513"/>
      <c r="B150" s="513"/>
      <c r="C150" s="513"/>
      <c r="D150" s="513"/>
      <c r="E150" s="513"/>
      <c r="F150" s="513"/>
      <c r="G150" s="513"/>
      <c r="H150" s="513"/>
      <c r="I150" s="513"/>
      <c r="J150" s="513"/>
      <c r="K150" s="513"/>
      <c r="L150" s="513"/>
      <c r="M150" s="513"/>
      <c r="N150" s="513"/>
      <c r="O150" s="513"/>
    </row>
    <row r="151" spans="1:15" ht="21.75" customHeight="1" x14ac:dyDescent="0.55000000000000004">
      <c r="A151" s="513"/>
      <c r="B151" s="513"/>
      <c r="C151" s="513"/>
      <c r="D151" s="513"/>
      <c r="E151" s="513"/>
      <c r="F151" s="513"/>
      <c r="G151" s="513"/>
      <c r="H151" s="513"/>
      <c r="I151" s="513"/>
      <c r="J151" s="513"/>
      <c r="K151" s="513"/>
      <c r="L151" s="513"/>
      <c r="M151" s="513"/>
      <c r="N151" s="513"/>
      <c r="O151" s="513"/>
    </row>
    <row r="152" spans="1:15" ht="21.75" customHeight="1" x14ac:dyDescent="0.55000000000000004">
      <c r="A152" s="513"/>
      <c r="B152" s="513"/>
      <c r="C152" s="513"/>
      <c r="D152" s="513"/>
      <c r="E152" s="513"/>
      <c r="F152" s="513"/>
      <c r="G152" s="513"/>
      <c r="H152" s="513"/>
      <c r="I152" s="513"/>
      <c r="J152" s="513"/>
      <c r="K152" s="513"/>
      <c r="L152" s="513"/>
      <c r="M152" s="513"/>
      <c r="N152" s="513"/>
      <c r="O152" s="513"/>
    </row>
    <row r="153" spans="1:15" ht="21.75" customHeight="1" x14ac:dyDescent="0.55000000000000004">
      <c r="A153" s="513"/>
      <c r="B153" s="513"/>
      <c r="C153" s="513"/>
      <c r="D153" s="513"/>
      <c r="E153" s="513"/>
      <c r="F153" s="513"/>
      <c r="G153" s="513"/>
      <c r="H153" s="513"/>
      <c r="I153" s="513"/>
      <c r="J153" s="513"/>
      <c r="K153" s="513"/>
      <c r="L153" s="513"/>
      <c r="M153" s="513"/>
      <c r="N153" s="513"/>
      <c r="O153" s="513"/>
    </row>
    <row r="154" spans="1:15" ht="21.75" customHeight="1" x14ac:dyDescent="0.55000000000000004">
      <c r="A154" s="513"/>
      <c r="B154" s="513"/>
      <c r="C154" s="513"/>
      <c r="D154" s="513"/>
      <c r="E154" s="513"/>
      <c r="F154" s="513"/>
      <c r="G154" s="513"/>
      <c r="H154" s="513"/>
      <c r="I154" s="513"/>
      <c r="J154" s="513"/>
      <c r="K154" s="513"/>
      <c r="L154" s="513"/>
      <c r="M154" s="513"/>
      <c r="N154" s="513"/>
      <c r="O154" s="513"/>
    </row>
    <row r="155" spans="1:15" ht="21.75" customHeight="1" x14ac:dyDescent="0.55000000000000004">
      <c r="A155" s="513"/>
      <c r="B155" s="513"/>
      <c r="C155" s="513"/>
      <c r="D155" s="513"/>
      <c r="E155" s="513"/>
      <c r="F155" s="513"/>
      <c r="G155" s="513"/>
      <c r="H155" s="513"/>
      <c r="I155" s="513"/>
      <c r="J155" s="513"/>
      <c r="K155" s="513"/>
      <c r="L155" s="513"/>
      <c r="M155" s="513"/>
      <c r="N155" s="513"/>
      <c r="O155" s="513"/>
    </row>
    <row r="1048519" ht="12.75" customHeight="1" x14ac:dyDescent="0.55000000000000004"/>
    <row r="1048520" ht="12.75" customHeight="1" x14ac:dyDescent="0.55000000000000004"/>
    <row r="1048521" ht="12.75" customHeight="1" x14ac:dyDescent="0.55000000000000004"/>
    <row r="1048522" ht="12.75" customHeight="1" x14ac:dyDescent="0.55000000000000004"/>
    <row r="1048523" ht="12.75" customHeight="1" x14ac:dyDescent="0.55000000000000004"/>
    <row r="1048524" ht="12.75" customHeight="1" x14ac:dyDescent="0.55000000000000004"/>
    <row r="1048525" ht="12.75" customHeight="1" x14ac:dyDescent="0.55000000000000004"/>
    <row r="1048526" ht="12.75" customHeight="1" x14ac:dyDescent="0.55000000000000004"/>
    <row r="1048527" ht="12.75" customHeight="1" x14ac:dyDescent="0.55000000000000004"/>
    <row r="1048528" ht="12.75" customHeight="1" x14ac:dyDescent="0.55000000000000004"/>
    <row r="1048529" ht="12.75" customHeight="1" x14ac:dyDescent="0.55000000000000004"/>
    <row r="1048530" ht="12.75" customHeight="1" x14ac:dyDescent="0.55000000000000004"/>
    <row r="1048531" ht="12.75" customHeight="1" x14ac:dyDescent="0.55000000000000004"/>
    <row r="1048532" ht="12.75" customHeight="1" x14ac:dyDescent="0.55000000000000004"/>
    <row r="1048533" ht="12.75" customHeight="1" x14ac:dyDescent="0.55000000000000004"/>
    <row r="1048534" ht="12.75" customHeight="1" x14ac:dyDescent="0.55000000000000004"/>
    <row r="1048535" ht="12.75" customHeight="1" x14ac:dyDescent="0.55000000000000004"/>
    <row r="1048536" ht="12.75" customHeight="1" x14ac:dyDescent="0.55000000000000004"/>
    <row r="1048537" ht="12.75" customHeight="1" x14ac:dyDescent="0.55000000000000004"/>
    <row r="1048538" ht="12.75" customHeight="1" x14ac:dyDescent="0.55000000000000004"/>
    <row r="1048539" ht="12.75" customHeight="1" x14ac:dyDescent="0.55000000000000004"/>
    <row r="1048540" ht="12.75" customHeight="1" x14ac:dyDescent="0.55000000000000004"/>
    <row r="1048541" ht="12.75" customHeight="1" x14ac:dyDescent="0.55000000000000004"/>
    <row r="1048542" ht="12.75" customHeight="1" x14ac:dyDescent="0.55000000000000004"/>
    <row r="1048543" ht="12.75" customHeight="1" x14ac:dyDescent="0.55000000000000004"/>
    <row r="1048544" ht="12.75" customHeight="1" x14ac:dyDescent="0.55000000000000004"/>
    <row r="1048545" ht="12.75" customHeight="1" x14ac:dyDescent="0.55000000000000004"/>
    <row r="1048546" ht="12.75" customHeight="1" x14ac:dyDescent="0.55000000000000004"/>
    <row r="1048547" ht="12.75" customHeight="1" x14ac:dyDescent="0.55000000000000004"/>
    <row r="1048548" ht="12.75" customHeight="1" x14ac:dyDescent="0.55000000000000004"/>
    <row r="1048549" ht="12.75" customHeight="1" x14ac:dyDescent="0.55000000000000004"/>
    <row r="1048550" ht="12.75" customHeight="1" x14ac:dyDescent="0.55000000000000004"/>
    <row r="1048551" ht="12.75" customHeight="1" x14ac:dyDescent="0.55000000000000004"/>
    <row r="1048552" ht="12.75" customHeight="1" x14ac:dyDescent="0.55000000000000004"/>
    <row r="1048553" ht="12.75" customHeight="1" x14ac:dyDescent="0.55000000000000004"/>
    <row r="1048554" ht="12.75" customHeight="1" x14ac:dyDescent="0.55000000000000004"/>
    <row r="1048555" ht="12.75" customHeight="1" x14ac:dyDescent="0.55000000000000004"/>
    <row r="1048556" ht="12.75" customHeight="1" x14ac:dyDescent="0.55000000000000004"/>
    <row r="1048557" ht="12.75" customHeight="1" x14ac:dyDescent="0.55000000000000004"/>
    <row r="1048558" ht="12.75" customHeight="1" x14ac:dyDescent="0.55000000000000004"/>
    <row r="1048559" ht="12.75" customHeight="1" x14ac:dyDescent="0.55000000000000004"/>
    <row r="1048560" ht="12.75" customHeight="1" x14ac:dyDescent="0.55000000000000004"/>
    <row r="1048561" ht="12.75" customHeight="1" x14ac:dyDescent="0.55000000000000004"/>
    <row r="1048562" ht="12.75" customHeight="1" x14ac:dyDescent="0.55000000000000004"/>
    <row r="1048563" ht="12.75" customHeight="1" x14ac:dyDescent="0.55000000000000004"/>
    <row r="1048564" ht="12.75" customHeight="1" x14ac:dyDescent="0.55000000000000004"/>
    <row r="1048565" ht="12.75" customHeight="1" x14ac:dyDescent="0.55000000000000004"/>
    <row r="1048566" ht="12.75" customHeight="1" x14ac:dyDescent="0.55000000000000004"/>
    <row r="1048567" ht="12.75" customHeight="1" x14ac:dyDescent="0.55000000000000004"/>
    <row r="1048568" ht="12.75" customHeight="1" x14ac:dyDescent="0.55000000000000004"/>
    <row r="1048569" ht="12.75" customHeight="1" x14ac:dyDescent="0.55000000000000004"/>
  </sheetData>
  <mergeCells count="6">
    <mergeCell ref="A117:B117"/>
    <mergeCell ref="A1:O2"/>
    <mergeCell ref="A14:B14"/>
    <mergeCell ref="A35:B35"/>
    <mergeCell ref="A65:B65"/>
    <mergeCell ref="A91:B91"/>
  </mergeCells>
  <conditionalFormatting sqref="C4:O13">
    <cfRule type="containsText" dxfId="0" priority="2" operator="containsText" text="n.d.">
      <formula>NOT(ISERROR(SEARCH("n.d.",C4)))</formula>
    </cfRule>
  </conditionalFormatting>
  <pageMargins left="0.7" right="0.7" top="0.75" bottom="0.75" header="0.511811023622047" footer="0.511811023622047"/>
  <pageSetup paperSize="9" orientation="portrait" horizontalDpi="300" verticalDpi="30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008BE6-CBCF-4412-922D-6F16EE82D137}">
  <ds:schemaRefs>
    <ds:schemaRef ds:uri="http://purl.org/dc/elements/1.1/"/>
    <ds:schemaRef ds:uri="http://purl.org/dc/dcmitype/"/>
    <ds:schemaRef ds:uri="6bd9865d-c7d0-4288-ab0a-9d4dee1c94e8"/>
    <ds:schemaRef ds:uri="http://schemas.microsoft.com/office/infopath/2007/PartnerControls"/>
    <ds:schemaRef ds:uri="http://schemas.microsoft.com/sharepoint/v3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80985e37-4d14-49b1-85af-18f353798ba1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4B4A55C-6B90-493F-A4DA-7DFC7A8A1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4B5F47-9765-4468-9F80-135B52FCDC2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2025-Formato 2M</vt:lpstr>
      <vt:lpstr>Costa Sur</vt:lpstr>
      <vt:lpstr>Turbinas CS</vt:lpstr>
      <vt:lpstr>CS 5</vt:lpstr>
      <vt:lpstr>CS 6</vt:lpstr>
      <vt:lpstr>San Juan</vt:lpstr>
      <vt:lpstr>Cálculos SJ</vt:lpstr>
      <vt:lpstr>Cálculos SJ5</vt:lpstr>
      <vt:lpstr>Cálculos SJ6</vt:lpstr>
      <vt:lpstr>Aguirre</vt:lpstr>
      <vt:lpstr>Cálculos AG</vt:lpstr>
      <vt:lpstr>Palo Seco</vt:lpstr>
      <vt:lpstr>Cálculos PS</vt:lpstr>
      <vt:lpstr>MPs PS</vt:lpstr>
      <vt:lpstr>Turbinas</vt:lpstr>
      <vt:lpstr>Cálculos Cambalache (60%)</vt:lpstr>
      <vt:lpstr>CEMS Cambalache</vt:lpstr>
      <vt:lpstr>Cálculos Daguao</vt:lpstr>
      <vt:lpstr>Cálculos Yabucoa</vt:lpstr>
      <vt:lpstr>Cálculos Vega Baja</vt:lpstr>
      <vt:lpstr>Cálculos Jobos</vt:lpstr>
      <vt:lpstr>Cálculos Mayagüez</vt:lpstr>
      <vt:lpstr>Mensual 2025</vt:lpstr>
      <vt:lpstr>Tasas 2025</vt:lpstr>
      <vt:lpstr>'2025-Formato 2M'!Print_Titles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Eliezer J Pimentel Lopez</cp:lastModifiedBy>
  <cp:revision>0</cp:revision>
  <dcterms:created xsi:type="dcterms:W3CDTF">2026-09-22T19:37:34Z</dcterms:created>
  <dcterms:modified xsi:type="dcterms:W3CDTF">2026-09-23T00:24:32Z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