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microsoft.com/office/2020/02/relationships/classificationlabels" Target="docMetadata/LabelInfo.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02"/>
  <workbookPr/>
  <xr:revisionPtr revIDLastSave="18" documentId="11_060D2824FB0656181B45C296C4F52EC06B761942" xr6:coauthVersionLast="47" xr6:coauthVersionMax="47" xr10:uidLastSave="{DC515C79-A4A5-4E2C-9C83-C1D00777FA00}"/>
  <bookViews>
    <workbookView xWindow="0" yWindow="0" windowWidth="16384" windowHeight="8192" tabRatio="500" activeTab="14" xr2:uid="{00000000-000D-0000-FFFF-FFFF00000000}"/>
  </bookViews>
  <sheets>
    <sheet name="2026" sheetId="1" r:id="rId1"/>
    <sheet name="Costa Sur" sheetId="2" r:id="rId2"/>
    <sheet name="Turbinas CS" sheetId="3" r:id="rId3"/>
    <sheet name="Calculos CS 3 y 4" sheetId="4" r:id="rId4"/>
    <sheet name="CS 5" sheetId="5" r:id="rId5"/>
    <sheet name="CS6" sheetId="6" r:id="rId6"/>
    <sheet name="San Juan" sheetId="7" r:id="rId7"/>
    <sheet name="Cálculos SJ" sheetId="8" r:id="rId8"/>
    <sheet name="Cálculos SJ5" sheetId="9" r:id="rId9"/>
    <sheet name="Cálculos SJ6" sheetId="10" r:id="rId10"/>
    <sheet name="Aguirre" sheetId="11" r:id="rId11"/>
    <sheet name="Cálculos AG" sheetId="12" r:id="rId12"/>
    <sheet name="Palo Seco" sheetId="13" r:id="rId13"/>
    <sheet name="Cálculos PS" sheetId="14" r:id="rId14"/>
    <sheet name="MPs PS" sheetId="15" r:id="rId15"/>
    <sheet name="Turbinas" sheetId="16" r:id="rId16"/>
    <sheet name="Cálculos Cambalache (60%)" sheetId="17" r:id="rId17"/>
    <sheet name="CEMS Cambalache" sheetId="18" r:id="rId18"/>
    <sheet name="Cálculos Daguao" sheetId="19" r:id="rId19"/>
    <sheet name="Cálculos Yabucoa" sheetId="20" r:id="rId20"/>
    <sheet name="Cálculos Vega Baja" sheetId="21" r:id="rId21"/>
    <sheet name="Cálculos Jobos" sheetId="22" r:id="rId22"/>
    <sheet name="Cálculos Mayagüez" sheetId="23" r:id="rId23"/>
    <sheet name="Datos de origen 2026" sheetId="24" r:id="rId24"/>
    <sheet name="Mensual 2026" sheetId="25" r:id="rId25"/>
    <sheet name="Tasas 2026" sheetId="26" r:id="rId26"/>
  </sheets>
  <definedNames>
    <definedName name="\A">#N/A</definedName>
    <definedName name="\B">#N/A</definedName>
    <definedName name="_xlnm.Print_Titles" localSheetId="0">'2026'!$1:$2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calcChain.xml><?xml version="1.0" encoding="utf-8"?>
<calcChain xmlns="http://schemas.openxmlformats.org/spreadsheetml/2006/main">
  <c r="H145" i="26" l="1"/>
  <c r="G145" i="26"/>
  <c r="F145" i="26"/>
  <c r="G113" i="26"/>
  <c r="F113" i="26"/>
  <c r="E113" i="26"/>
  <c r="D113" i="26"/>
  <c r="C113" i="26"/>
  <c r="G112" i="26"/>
  <c r="F112" i="26"/>
  <c r="E112" i="26"/>
  <c r="D112" i="26"/>
  <c r="C112" i="26"/>
  <c r="G111" i="26"/>
  <c r="F111" i="26"/>
  <c r="E111" i="26"/>
  <c r="D111" i="26"/>
  <c r="C111" i="26"/>
  <c r="G110" i="26"/>
  <c r="F110" i="26"/>
  <c r="E110" i="26"/>
  <c r="D110" i="26"/>
  <c r="C110" i="26"/>
  <c r="G109" i="26"/>
  <c r="F109" i="26"/>
  <c r="E109" i="26"/>
  <c r="D109" i="26"/>
  <c r="C109" i="26"/>
  <c r="H108" i="26"/>
  <c r="G108" i="26"/>
  <c r="F108" i="26"/>
  <c r="E108" i="26"/>
  <c r="D108" i="26"/>
  <c r="C108" i="26"/>
  <c r="G107" i="26"/>
  <c r="F107" i="26"/>
  <c r="E107" i="26"/>
  <c r="D107" i="26"/>
  <c r="C107" i="26"/>
  <c r="G106" i="26"/>
  <c r="F106" i="26"/>
  <c r="E106" i="26"/>
  <c r="D106" i="26"/>
  <c r="C106" i="26"/>
  <c r="G105" i="26"/>
  <c r="F105" i="26"/>
  <c r="E105" i="26"/>
  <c r="D105" i="26"/>
  <c r="C105" i="26"/>
  <c r="G104" i="26"/>
  <c r="F104" i="26"/>
  <c r="E104" i="26"/>
  <c r="D104" i="26"/>
  <c r="C104" i="26"/>
  <c r="G103" i="26"/>
  <c r="F103" i="26"/>
  <c r="E103" i="26"/>
  <c r="D103" i="26"/>
  <c r="C103" i="26"/>
  <c r="G102" i="26"/>
  <c r="F102" i="26"/>
  <c r="E102" i="26"/>
  <c r="D102" i="26"/>
  <c r="C102" i="26"/>
  <c r="G101" i="26"/>
  <c r="F101" i="26"/>
  <c r="E101" i="26"/>
  <c r="D101" i="26"/>
  <c r="C101" i="26"/>
  <c r="G100" i="26"/>
  <c r="F100" i="26"/>
  <c r="E100" i="26"/>
  <c r="D100" i="26"/>
  <c r="C100" i="26"/>
  <c r="G99" i="26"/>
  <c r="F99" i="26"/>
  <c r="E99" i="26"/>
  <c r="D99" i="26"/>
  <c r="C99" i="26"/>
  <c r="G98" i="26"/>
  <c r="F98" i="26"/>
  <c r="E98" i="26"/>
  <c r="D98" i="26"/>
  <c r="C98" i="26"/>
  <c r="G97" i="26"/>
  <c r="F97" i="26"/>
  <c r="E97" i="26"/>
  <c r="D97" i="26"/>
  <c r="C97" i="26"/>
  <c r="G96" i="26"/>
  <c r="F96" i="26"/>
  <c r="E96" i="26"/>
  <c r="D96" i="26"/>
  <c r="C96" i="26"/>
  <c r="G95" i="26"/>
  <c r="F95" i="26"/>
  <c r="E95" i="26"/>
  <c r="D95" i="26"/>
  <c r="C95" i="26"/>
  <c r="G94" i="26"/>
  <c r="F94" i="26"/>
  <c r="E94" i="26"/>
  <c r="D94" i="26"/>
  <c r="C94" i="26"/>
  <c r="G93" i="26"/>
  <c r="F93" i="26"/>
  <c r="E93" i="26"/>
  <c r="D93" i="26"/>
  <c r="C93" i="26"/>
  <c r="G92" i="26"/>
  <c r="F92" i="26"/>
  <c r="E92" i="26"/>
  <c r="D92" i="26"/>
  <c r="C92" i="26"/>
  <c r="I2418" i="24"/>
  <c r="H104" i="26" s="1"/>
  <c r="I2416" i="24"/>
  <c r="H102" i="26" s="1"/>
  <c r="D2404" i="24"/>
  <c r="D2406" i="24" s="1"/>
  <c r="D2403" i="24"/>
  <c r="G2373" i="24"/>
  <c r="G2372" i="24"/>
  <c r="G2321" i="24"/>
  <c r="G2323" i="24" s="1"/>
  <c r="G2320" i="24"/>
  <c r="G2322" i="24" s="1"/>
  <c r="G2319" i="24"/>
  <c r="G2318" i="24"/>
  <c r="G2313" i="24"/>
  <c r="G2312" i="24"/>
  <c r="I2270" i="24"/>
  <c r="I2269" i="24"/>
  <c r="I2268" i="24"/>
  <c r="I2267" i="24"/>
  <c r="I2254" i="24"/>
  <c r="I2253" i="24"/>
  <c r="I2252" i="24"/>
  <c r="I2251" i="24"/>
  <c r="I2250" i="24"/>
  <c r="I2248" i="24"/>
  <c r="I2247" i="24"/>
  <c r="I2245" i="24"/>
  <c r="I2244" i="24"/>
  <c r="I2242" i="24"/>
  <c r="I2241" i="24"/>
  <c r="I2239" i="24"/>
  <c r="I2234" i="24"/>
  <c r="I2233" i="24"/>
  <c r="I2232" i="24"/>
  <c r="I2231" i="24"/>
  <c r="I2230" i="24"/>
  <c r="I2228" i="24"/>
  <c r="I2227" i="24"/>
  <c r="I2225" i="24"/>
  <c r="I2224" i="24"/>
  <c r="I2222" i="24"/>
  <c r="I2221" i="24"/>
  <c r="I2219" i="24"/>
  <c r="I2214" i="24"/>
  <c r="I2213" i="24"/>
  <c r="I2212" i="24"/>
  <c r="I2211" i="24"/>
  <c r="I2210" i="24"/>
  <c r="I2208" i="24"/>
  <c r="I2207" i="24"/>
  <c r="I2205" i="24"/>
  <c r="I2204" i="24"/>
  <c r="I2202" i="24"/>
  <c r="I2201" i="24"/>
  <c r="I2199" i="24"/>
  <c r="I2194" i="24"/>
  <c r="I2193" i="24"/>
  <c r="I2192" i="24"/>
  <c r="I2191" i="24"/>
  <c r="I2190" i="24"/>
  <c r="I2188" i="24"/>
  <c r="H2188" i="24"/>
  <c r="G2188" i="24"/>
  <c r="F2188" i="24"/>
  <c r="E2188" i="24"/>
  <c r="D2188" i="24"/>
  <c r="I2187" i="24"/>
  <c r="I2185" i="24"/>
  <c r="H2185" i="24"/>
  <c r="G2185" i="24"/>
  <c r="F2185" i="24"/>
  <c r="E2185" i="24"/>
  <c r="D2185" i="24"/>
  <c r="I2184" i="24"/>
  <c r="I2182" i="24"/>
  <c r="H2182" i="24"/>
  <c r="G2182" i="24"/>
  <c r="F2182" i="24"/>
  <c r="E2182" i="24"/>
  <c r="D2182" i="24"/>
  <c r="I2181" i="24"/>
  <c r="I2179" i="24"/>
  <c r="H2179" i="24"/>
  <c r="G2179" i="24"/>
  <c r="F2179" i="24"/>
  <c r="E2179" i="24"/>
  <c r="D2179" i="24"/>
  <c r="I2174" i="24"/>
  <c r="I2173" i="24"/>
  <c r="I2172" i="24"/>
  <c r="I2171" i="24"/>
  <c r="I2170" i="24"/>
  <c r="I2167" i="24"/>
  <c r="I2164" i="24"/>
  <c r="I2161" i="24"/>
  <c r="I2154" i="24"/>
  <c r="I2153" i="24"/>
  <c r="I2152" i="24"/>
  <c r="I2151" i="24"/>
  <c r="I2150" i="24"/>
  <c r="I2148" i="24"/>
  <c r="I2147" i="24"/>
  <c r="I2145" i="24"/>
  <c r="I2144" i="24"/>
  <c r="H113" i="26" s="1"/>
  <c r="I2142" i="24"/>
  <c r="I2141" i="24"/>
  <c r="I2139" i="24"/>
  <c r="H2138" i="24"/>
  <c r="H2168" i="24" s="1"/>
  <c r="G2138" i="24"/>
  <c r="G2168" i="24" s="1"/>
  <c r="F2138" i="24"/>
  <c r="F2168" i="24" s="1"/>
  <c r="E2138" i="24"/>
  <c r="E2168" i="24" s="1"/>
  <c r="H2137" i="24"/>
  <c r="H2165" i="24" s="1"/>
  <c r="G2137" i="24"/>
  <c r="G2165" i="24" s="1"/>
  <c r="F2137" i="24"/>
  <c r="F2165" i="24" s="1"/>
  <c r="E2137" i="24"/>
  <c r="E2165" i="24" s="1"/>
  <c r="H2136" i="24"/>
  <c r="H2162" i="24" s="1"/>
  <c r="G2136" i="24"/>
  <c r="G2162" i="24" s="1"/>
  <c r="F2136" i="24"/>
  <c r="F2162" i="24" s="1"/>
  <c r="E2136" i="24"/>
  <c r="E2162" i="24" s="1"/>
  <c r="I2135" i="24"/>
  <c r="H2135" i="24"/>
  <c r="G2135" i="24"/>
  <c r="F2135" i="24"/>
  <c r="E2135" i="24"/>
  <c r="D2135" i="24"/>
  <c r="H2134" i="24"/>
  <c r="H2159" i="24" s="1"/>
  <c r="G2134" i="24"/>
  <c r="G2159" i="24" s="1"/>
  <c r="F2134" i="24"/>
  <c r="F2159" i="24" s="1"/>
  <c r="E2134" i="24"/>
  <c r="E2159" i="24" s="1"/>
  <c r="H2133" i="24"/>
  <c r="G2133" i="24"/>
  <c r="F2133" i="24"/>
  <c r="E2133" i="24"/>
  <c r="D2133" i="24"/>
  <c r="H2132" i="24"/>
  <c r="G2132" i="24"/>
  <c r="F2132" i="24"/>
  <c r="E2132" i="24"/>
  <c r="D2132" i="24"/>
  <c r="H2131" i="24"/>
  <c r="G2131" i="24"/>
  <c r="F2131" i="24"/>
  <c r="E2131" i="24"/>
  <c r="D2131" i="24"/>
  <c r="H2130" i="24"/>
  <c r="G2130" i="24"/>
  <c r="F2130" i="24"/>
  <c r="E2130" i="24"/>
  <c r="D2130" i="24"/>
  <c r="I2118" i="24"/>
  <c r="I2117" i="24"/>
  <c r="I2110" i="24"/>
  <c r="I2109" i="24"/>
  <c r="I2108" i="24"/>
  <c r="I2106" i="24"/>
  <c r="I2105" i="24"/>
  <c r="I2103" i="24"/>
  <c r="I2100" i="24"/>
  <c r="I2099" i="24"/>
  <c r="I2098" i="24"/>
  <c r="I2096" i="24"/>
  <c r="I2095" i="24"/>
  <c r="I2093" i="24"/>
  <c r="I2090" i="24"/>
  <c r="I2089" i="24"/>
  <c r="I2088" i="24"/>
  <c r="I2086" i="24"/>
  <c r="I2085" i="24"/>
  <c r="I2083" i="24"/>
  <c r="I2080" i="24"/>
  <c r="I2079" i="24"/>
  <c r="I2078" i="24"/>
  <c r="I2076" i="24"/>
  <c r="I2075" i="24"/>
  <c r="I2073" i="24"/>
  <c r="I2070" i="24"/>
  <c r="I2069" i="24"/>
  <c r="I2068" i="24"/>
  <c r="I2065" i="24"/>
  <c r="I2060" i="24"/>
  <c r="I2059" i="24"/>
  <c r="I2058" i="24"/>
  <c r="I2056" i="24"/>
  <c r="I2055" i="24"/>
  <c r="H112" i="26" s="1"/>
  <c r="I2053" i="24"/>
  <c r="I2052" i="24"/>
  <c r="H2052" i="24"/>
  <c r="G2052" i="24"/>
  <c r="F2052" i="24"/>
  <c r="E2052" i="24"/>
  <c r="D2052" i="24"/>
  <c r="H2051" i="24"/>
  <c r="H2066" i="24" s="1"/>
  <c r="G2051" i="24"/>
  <c r="G2066" i="24" s="1"/>
  <c r="F2051" i="24"/>
  <c r="F2066" i="24" s="1"/>
  <c r="E2051" i="24"/>
  <c r="E2066" i="24" s="1"/>
  <c r="H2050" i="24"/>
  <c r="H2063" i="24" s="1"/>
  <c r="G2050" i="24"/>
  <c r="G2063" i="24" s="1"/>
  <c r="F2050" i="24"/>
  <c r="F2063" i="24" s="1"/>
  <c r="E2050" i="24"/>
  <c r="E2063" i="24" s="1"/>
  <c r="H2049" i="24"/>
  <c r="G2049" i="24"/>
  <c r="F2049" i="24"/>
  <c r="E2049" i="24"/>
  <c r="D2049" i="24"/>
  <c r="H2048" i="24"/>
  <c r="G2048" i="24"/>
  <c r="F2048" i="24"/>
  <c r="E2048" i="24"/>
  <c r="D2048" i="24"/>
  <c r="I2047" i="24"/>
  <c r="I2046" i="24"/>
  <c r="I2034" i="24"/>
  <c r="I2033" i="24"/>
  <c r="I2026" i="24"/>
  <c r="I2025" i="24"/>
  <c r="I2024" i="24"/>
  <c r="I2022" i="24"/>
  <c r="I2021" i="24"/>
  <c r="I2019" i="24"/>
  <c r="I2016" i="24"/>
  <c r="I2015" i="24"/>
  <c r="I2014" i="24"/>
  <c r="I2012" i="24"/>
  <c r="I2011" i="24"/>
  <c r="I2009" i="24"/>
  <c r="I2006" i="24"/>
  <c r="I2005" i="24"/>
  <c r="I2004" i="24"/>
  <c r="I2002" i="24"/>
  <c r="I2001" i="24"/>
  <c r="I1999" i="24"/>
  <c r="I1996" i="24"/>
  <c r="I1995" i="24"/>
  <c r="I1994" i="24"/>
  <c r="I1992" i="24"/>
  <c r="I1991" i="24"/>
  <c r="I1989" i="24"/>
  <c r="I1986" i="24"/>
  <c r="I1985" i="24"/>
  <c r="I1984" i="24"/>
  <c r="I1981" i="24"/>
  <c r="I1976" i="24"/>
  <c r="I1975" i="24"/>
  <c r="I1974" i="24"/>
  <c r="I1972" i="24"/>
  <c r="I1971" i="24"/>
  <c r="H111" i="26" s="1"/>
  <c r="I1969" i="24"/>
  <c r="I1968" i="24"/>
  <c r="H1968" i="24"/>
  <c r="G1968" i="24"/>
  <c r="F1968" i="24"/>
  <c r="E1968" i="24"/>
  <c r="D1968" i="24"/>
  <c r="H1967" i="24"/>
  <c r="H1982" i="24" s="1"/>
  <c r="G1967" i="24"/>
  <c r="G1982" i="24" s="1"/>
  <c r="F1967" i="24"/>
  <c r="F1982" i="24" s="1"/>
  <c r="E1967" i="24"/>
  <c r="E1982" i="24" s="1"/>
  <c r="H1966" i="24"/>
  <c r="H1979" i="24" s="1"/>
  <c r="G1966" i="24"/>
  <c r="G1979" i="24" s="1"/>
  <c r="F1966" i="24"/>
  <c r="F1979" i="24" s="1"/>
  <c r="E1966" i="24"/>
  <c r="E1979" i="24" s="1"/>
  <c r="H1965" i="24"/>
  <c r="G1965" i="24"/>
  <c r="F1965" i="24"/>
  <c r="E1965" i="24"/>
  <c r="D1965" i="24"/>
  <c r="H1964" i="24"/>
  <c r="G1964" i="24"/>
  <c r="F1964" i="24"/>
  <c r="E1964" i="24"/>
  <c r="D1964" i="24"/>
  <c r="I1963" i="24"/>
  <c r="I1962" i="24"/>
  <c r="I1950" i="24"/>
  <c r="I1949" i="24"/>
  <c r="I1942" i="24"/>
  <c r="I1941" i="24"/>
  <c r="I1940" i="24"/>
  <c r="I1938" i="24"/>
  <c r="I1937" i="24"/>
  <c r="I1935" i="24"/>
  <c r="I1932" i="24"/>
  <c r="I1931" i="24"/>
  <c r="I1930" i="24"/>
  <c r="I1928" i="24"/>
  <c r="I1927" i="24"/>
  <c r="I1925" i="24"/>
  <c r="I1922" i="24"/>
  <c r="I1921" i="24"/>
  <c r="I1920" i="24"/>
  <c r="I1918" i="24"/>
  <c r="I1917" i="24"/>
  <c r="I1915" i="24"/>
  <c r="I1912" i="24"/>
  <c r="I1911" i="24"/>
  <c r="I1910" i="24"/>
  <c r="I1908" i="24"/>
  <c r="I1907" i="24"/>
  <c r="I1905" i="24"/>
  <c r="I1902" i="24"/>
  <c r="I1901" i="24"/>
  <c r="I1900" i="24"/>
  <c r="I1897" i="24"/>
  <c r="I1892" i="24"/>
  <c r="I1891" i="24"/>
  <c r="I1890" i="24"/>
  <c r="I1888" i="24"/>
  <c r="I1887" i="24"/>
  <c r="H110" i="26" s="1"/>
  <c r="I1885" i="24"/>
  <c r="I1884" i="24"/>
  <c r="H1884" i="24"/>
  <c r="G1884" i="24"/>
  <c r="F1884" i="24"/>
  <c r="E1884" i="24"/>
  <c r="D1884" i="24"/>
  <c r="H1883" i="24"/>
  <c r="H1898" i="24" s="1"/>
  <c r="G1883" i="24"/>
  <c r="G1898" i="24" s="1"/>
  <c r="F1883" i="24"/>
  <c r="F1898" i="24" s="1"/>
  <c r="E1883" i="24"/>
  <c r="E1898" i="24" s="1"/>
  <c r="H1882" i="24"/>
  <c r="H1895" i="24" s="1"/>
  <c r="G1882" i="24"/>
  <c r="G1895" i="24" s="1"/>
  <c r="F1882" i="24"/>
  <c r="F1895" i="24" s="1"/>
  <c r="E1882" i="24"/>
  <c r="E1895" i="24" s="1"/>
  <c r="H1881" i="24"/>
  <c r="G1881" i="24"/>
  <c r="F1881" i="24"/>
  <c r="E1881" i="24"/>
  <c r="D1881" i="24"/>
  <c r="H1880" i="24"/>
  <c r="G1880" i="24"/>
  <c r="F1880" i="24"/>
  <c r="E1880" i="24"/>
  <c r="D1880" i="24"/>
  <c r="I1879" i="24"/>
  <c r="I1878" i="24"/>
  <c r="I1866" i="24"/>
  <c r="I1865" i="24"/>
  <c r="I1858" i="24"/>
  <c r="I1857" i="24"/>
  <c r="I1856" i="24"/>
  <c r="I1854" i="24"/>
  <c r="I1853" i="24"/>
  <c r="I1851" i="24"/>
  <c r="I1848" i="24"/>
  <c r="I1847" i="24"/>
  <c r="I1846" i="24"/>
  <c r="I1844" i="24"/>
  <c r="I1843" i="24"/>
  <c r="I1841" i="24"/>
  <c r="I1838" i="24"/>
  <c r="I1837" i="24"/>
  <c r="I1836" i="24"/>
  <c r="I1834" i="24"/>
  <c r="I1833" i="24"/>
  <c r="I1831" i="24"/>
  <c r="I1828" i="24"/>
  <c r="I1827" i="24"/>
  <c r="I1826" i="24"/>
  <c r="I1824" i="24"/>
  <c r="I1823" i="24"/>
  <c r="I1821" i="24"/>
  <c r="I1818" i="24"/>
  <c r="I1817" i="24"/>
  <c r="I1816" i="24"/>
  <c r="I1813" i="24"/>
  <c r="I1808" i="24"/>
  <c r="I1807" i="24"/>
  <c r="I1806" i="24"/>
  <c r="I1804" i="24"/>
  <c r="I1803" i="24"/>
  <c r="H109" i="26" s="1"/>
  <c r="I1801" i="24"/>
  <c r="I1800" i="24"/>
  <c r="H1800" i="24"/>
  <c r="G1800" i="24"/>
  <c r="F1800" i="24"/>
  <c r="E1800" i="24"/>
  <c r="D1800" i="24"/>
  <c r="H1799" i="24"/>
  <c r="H1814" i="24" s="1"/>
  <c r="G1799" i="24"/>
  <c r="G1814" i="24" s="1"/>
  <c r="F1799" i="24"/>
  <c r="F1814" i="24" s="1"/>
  <c r="E1799" i="24"/>
  <c r="E1814" i="24" s="1"/>
  <c r="H1798" i="24"/>
  <c r="H1811" i="24" s="1"/>
  <c r="G1798" i="24"/>
  <c r="G1811" i="24" s="1"/>
  <c r="F1798" i="24"/>
  <c r="F1811" i="24" s="1"/>
  <c r="E1798" i="24"/>
  <c r="E1811" i="24" s="1"/>
  <c r="H1797" i="24"/>
  <c r="G1797" i="24"/>
  <c r="F1797" i="24"/>
  <c r="E1797" i="24"/>
  <c r="D1797" i="24"/>
  <c r="H1796" i="24"/>
  <c r="G1796" i="24"/>
  <c r="F1796" i="24"/>
  <c r="E1796" i="24"/>
  <c r="D1796" i="24"/>
  <c r="I1782" i="24"/>
  <c r="H1782" i="24"/>
  <c r="G1782" i="24"/>
  <c r="F1782" i="24"/>
  <c r="E1782" i="24"/>
  <c r="D1782" i="24"/>
  <c r="I1779" i="24"/>
  <c r="H1779" i="24"/>
  <c r="G1779" i="24"/>
  <c r="F1779" i="24"/>
  <c r="E1779" i="24"/>
  <c r="D1779" i="24"/>
  <c r="I1776" i="24"/>
  <c r="H1776" i="24"/>
  <c r="G1776" i="24"/>
  <c r="F1776" i="24"/>
  <c r="E1776" i="24"/>
  <c r="D1776" i="24"/>
  <c r="I1775" i="24"/>
  <c r="H1775" i="24"/>
  <c r="G1775" i="24"/>
  <c r="F1775" i="24"/>
  <c r="E1775" i="24"/>
  <c r="D1775" i="24"/>
  <c r="I1774" i="24"/>
  <c r="H1774" i="24"/>
  <c r="G1774" i="24"/>
  <c r="F1774" i="24"/>
  <c r="E1774" i="24"/>
  <c r="D1774" i="24"/>
  <c r="I1771" i="24"/>
  <c r="H1771" i="24"/>
  <c r="G1771" i="24"/>
  <c r="F1771" i="24"/>
  <c r="E1771" i="24"/>
  <c r="D1771" i="24"/>
  <c r="I1768" i="24"/>
  <c r="H1768" i="24"/>
  <c r="G1768" i="24"/>
  <c r="F1768" i="24"/>
  <c r="E1768" i="24"/>
  <c r="D1768" i="24"/>
  <c r="I1767" i="24"/>
  <c r="H1767" i="24"/>
  <c r="G1767" i="24"/>
  <c r="F1767" i="24"/>
  <c r="E1767" i="24"/>
  <c r="D1767" i="24"/>
  <c r="I1766" i="24"/>
  <c r="H1766" i="24"/>
  <c r="G1766" i="24"/>
  <c r="F1766" i="24"/>
  <c r="E1766" i="24"/>
  <c r="D1766" i="24"/>
  <c r="I1763" i="24"/>
  <c r="H1763" i="24"/>
  <c r="G1763" i="24"/>
  <c r="F1763" i="24"/>
  <c r="E1763" i="24"/>
  <c r="D1763" i="24"/>
  <c r="I1760" i="24"/>
  <c r="H1760" i="24"/>
  <c r="G1760" i="24"/>
  <c r="F1760" i="24"/>
  <c r="E1760" i="24"/>
  <c r="D1760" i="24"/>
  <c r="I1759" i="24"/>
  <c r="H1759" i="24"/>
  <c r="G1759" i="24"/>
  <c r="F1759" i="24"/>
  <c r="E1759" i="24"/>
  <c r="D1759" i="24"/>
  <c r="I1758" i="24"/>
  <c r="H1758" i="24"/>
  <c r="G1758" i="24"/>
  <c r="F1758" i="24"/>
  <c r="E1758" i="24"/>
  <c r="D1758" i="24"/>
  <c r="I1755" i="24"/>
  <c r="H1755" i="24"/>
  <c r="G1755" i="24"/>
  <c r="F1755" i="24"/>
  <c r="E1755" i="24"/>
  <c r="D1755" i="24"/>
  <c r="I1752" i="24"/>
  <c r="H1752" i="24"/>
  <c r="G1752" i="24"/>
  <c r="F1752" i="24"/>
  <c r="E1752" i="24"/>
  <c r="D1752" i="24"/>
  <c r="I1751" i="24"/>
  <c r="H1751" i="24"/>
  <c r="G1751" i="24"/>
  <c r="F1751" i="24"/>
  <c r="E1751" i="24"/>
  <c r="D1751" i="24"/>
  <c r="I1750" i="24"/>
  <c r="H1750" i="24"/>
  <c r="G1750" i="24"/>
  <c r="F1750" i="24"/>
  <c r="E1750" i="24"/>
  <c r="D1750" i="24"/>
  <c r="I1747" i="24"/>
  <c r="H1747" i="24"/>
  <c r="G1747" i="24"/>
  <c r="F1747" i="24"/>
  <c r="E1747" i="24"/>
  <c r="D1747" i="24"/>
  <c r="I1744" i="24"/>
  <c r="H1744" i="24"/>
  <c r="G1744" i="24"/>
  <c r="F1744" i="24"/>
  <c r="E1744" i="24"/>
  <c r="D1744" i="24"/>
  <c r="I1743" i="24"/>
  <c r="H1743" i="24"/>
  <c r="G1743" i="24"/>
  <c r="F1743" i="24"/>
  <c r="E1743" i="24"/>
  <c r="D1743" i="24"/>
  <c r="I1742" i="24"/>
  <c r="H1742" i="24"/>
  <c r="G1742" i="24"/>
  <c r="F1742" i="24"/>
  <c r="E1742" i="24"/>
  <c r="D1742" i="24"/>
  <c r="I1739" i="24"/>
  <c r="H1739" i="24"/>
  <c r="G1739" i="24"/>
  <c r="F1739" i="24"/>
  <c r="E1739" i="24"/>
  <c r="D1739" i="24"/>
  <c r="I1736" i="24"/>
  <c r="H1736" i="24"/>
  <c r="G1736" i="24"/>
  <c r="F1736" i="24"/>
  <c r="E1736" i="24"/>
  <c r="D1736" i="24"/>
  <c r="I1735" i="24"/>
  <c r="H1735" i="24"/>
  <c r="G1735" i="24"/>
  <c r="F1735" i="24"/>
  <c r="E1735" i="24"/>
  <c r="D1735" i="24"/>
  <c r="H1734" i="24"/>
  <c r="G1734" i="24"/>
  <c r="F1734" i="24"/>
  <c r="E1734" i="24"/>
  <c r="D1734" i="24"/>
  <c r="I1733" i="24"/>
  <c r="I1732" i="24"/>
  <c r="I1734" i="24" s="1"/>
  <c r="H1731" i="24"/>
  <c r="G1731" i="24"/>
  <c r="F1731" i="24"/>
  <c r="E1731" i="24"/>
  <c r="D1731" i="24"/>
  <c r="I1730" i="24"/>
  <c r="I1729" i="24"/>
  <c r="I1731" i="24" s="1"/>
  <c r="I1728" i="24"/>
  <c r="H1728" i="24"/>
  <c r="G1728" i="24"/>
  <c r="F1728" i="24"/>
  <c r="E1728" i="24"/>
  <c r="D1728" i="24"/>
  <c r="I1727" i="24"/>
  <c r="H1727" i="24"/>
  <c r="G1727" i="24"/>
  <c r="F1727" i="24"/>
  <c r="E1727" i="24"/>
  <c r="D1727" i="24"/>
  <c r="I1726" i="24"/>
  <c r="H1726" i="24"/>
  <c r="G1726" i="24"/>
  <c r="F1726" i="24"/>
  <c r="E1726" i="24"/>
  <c r="D1726" i="24"/>
  <c r="I1723" i="24"/>
  <c r="H1723" i="24"/>
  <c r="G1723" i="24"/>
  <c r="F1723" i="24"/>
  <c r="E1723" i="24"/>
  <c r="D1723" i="24"/>
  <c r="I1720" i="24"/>
  <c r="H1720" i="24"/>
  <c r="G1720" i="24"/>
  <c r="F1720" i="24"/>
  <c r="E1720" i="24"/>
  <c r="D1720" i="24"/>
  <c r="I1719" i="24"/>
  <c r="H1719" i="24"/>
  <c r="G1719" i="24"/>
  <c r="F1719" i="24"/>
  <c r="E1719" i="24"/>
  <c r="D1719" i="24"/>
  <c r="I1718" i="24"/>
  <c r="H1718" i="24"/>
  <c r="G1718" i="24"/>
  <c r="F1718" i="24"/>
  <c r="E1718" i="24"/>
  <c r="D1718" i="24"/>
  <c r="I1715" i="24"/>
  <c r="H1715" i="24"/>
  <c r="G1715" i="24"/>
  <c r="F1715" i="24"/>
  <c r="E1715" i="24"/>
  <c r="D1715" i="24"/>
  <c r="I1712" i="24"/>
  <c r="H1712" i="24"/>
  <c r="G1712" i="24"/>
  <c r="F1712" i="24"/>
  <c r="E1712" i="24"/>
  <c r="D1712" i="24"/>
  <c r="I1711" i="24"/>
  <c r="H1711" i="24"/>
  <c r="G1711" i="24"/>
  <c r="F1711" i="24"/>
  <c r="E1711" i="24"/>
  <c r="D1711" i="24"/>
  <c r="I1710" i="24"/>
  <c r="H1710" i="24"/>
  <c r="G1710" i="24"/>
  <c r="F1710" i="24"/>
  <c r="E1710" i="24"/>
  <c r="D1710" i="24"/>
  <c r="I1707" i="24"/>
  <c r="H1707" i="24"/>
  <c r="G1707" i="24"/>
  <c r="F1707" i="24"/>
  <c r="E1707" i="24"/>
  <c r="D1707" i="24"/>
  <c r="I1704" i="24"/>
  <c r="H1704" i="24"/>
  <c r="G1704" i="24"/>
  <c r="F1704" i="24"/>
  <c r="E1704" i="24"/>
  <c r="D1704" i="24"/>
  <c r="I1703" i="24"/>
  <c r="H1703" i="24"/>
  <c r="G1703" i="24"/>
  <c r="F1703" i="24"/>
  <c r="E1703" i="24"/>
  <c r="D1703" i="24"/>
  <c r="I1702" i="24"/>
  <c r="H1702" i="24"/>
  <c r="G1702" i="24"/>
  <c r="F1702" i="24"/>
  <c r="E1702" i="24"/>
  <c r="D1702" i="24"/>
  <c r="I1699" i="24"/>
  <c r="H1699" i="24"/>
  <c r="G1699" i="24"/>
  <c r="F1699" i="24"/>
  <c r="E1699" i="24"/>
  <c r="D1699" i="24"/>
  <c r="I1696" i="24"/>
  <c r="H1696" i="24"/>
  <c r="G1696" i="24"/>
  <c r="F1696" i="24"/>
  <c r="E1696" i="24"/>
  <c r="D1696" i="24"/>
  <c r="I1695" i="24"/>
  <c r="H1695" i="24"/>
  <c r="G1695" i="24"/>
  <c r="F1695" i="24"/>
  <c r="E1695" i="24"/>
  <c r="D1695" i="24"/>
  <c r="I1694" i="24"/>
  <c r="H1694" i="24"/>
  <c r="G1694" i="24"/>
  <c r="F1694" i="24"/>
  <c r="E1694" i="24"/>
  <c r="D1694" i="24"/>
  <c r="I1691" i="24"/>
  <c r="H1691" i="24"/>
  <c r="G1691" i="24"/>
  <c r="F1691" i="24"/>
  <c r="E1691" i="24"/>
  <c r="D1691" i="24"/>
  <c r="I1688" i="24"/>
  <c r="I1784" i="24" s="1"/>
  <c r="I1786" i="24" s="1"/>
  <c r="I1792" i="24" s="1"/>
  <c r="H67" i="25" s="1"/>
  <c r="H1688" i="24"/>
  <c r="H1784" i="24" s="1"/>
  <c r="H1786" i="24" s="1"/>
  <c r="H2288" i="24" s="1"/>
  <c r="G67" i="25" s="1"/>
  <c r="G1688" i="24"/>
  <c r="G1784" i="24" s="1"/>
  <c r="G1786" i="24" s="1"/>
  <c r="G2288" i="24" s="1"/>
  <c r="F67" i="25" s="1"/>
  <c r="F1688" i="24"/>
  <c r="F1784" i="24" s="1"/>
  <c r="F1786" i="24" s="1"/>
  <c r="F1792" i="24" s="1"/>
  <c r="E67" i="25" s="1"/>
  <c r="E1688" i="24"/>
  <c r="E1784" i="24" s="1"/>
  <c r="E1786" i="24" s="1"/>
  <c r="E1792" i="24" s="1"/>
  <c r="D67" i="25" s="1"/>
  <c r="D1688" i="24"/>
  <c r="D1784" i="24" s="1"/>
  <c r="D1786" i="24" s="1"/>
  <c r="D1792" i="24" s="1"/>
  <c r="C67" i="25" s="1"/>
  <c r="I67" i="25" s="1"/>
  <c r="I1687" i="24"/>
  <c r="I1783" i="24" s="1"/>
  <c r="I1785" i="24" s="1"/>
  <c r="I1790" i="24" s="1"/>
  <c r="H65" i="25" s="1"/>
  <c r="H1687" i="24"/>
  <c r="H1783" i="24" s="1"/>
  <c r="H1785" i="24" s="1"/>
  <c r="H2286" i="24" s="1"/>
  <c r="G65" i="25" s="1"/>
  <c r="G1687" i="24"/>
  <c r="G1783" i="24" s="1"/>
  <c r="G1785" i="24" s="1"/>
  <c r="G2286" i="24" s="1"/>
  <c r="F65" i="25" s="1"/>
  <c r="F1687" i="24"/>
  <c r="F1783" i="24" s="1"/>
  <c r="F1785" i="24" s="1"/>
  <c r="F1790" i="24" s="1"/>
  <c r="E65" i="25" s="1"/>
  <c r="E1687" i="24"/>
  <c r="E1783" i="24" s="1"/>
  <c r="E1785" i="24" s="1"/>
  <c r="E1790" i="24" s="1"/>
  <c r="D65" i="25" s="1"/>
  <c r="D1687" i="24"/>
  <c r="D1783" i="24" s="1"/>
  <c r="D1785" i="24" s="1"/>
  <c r="D1790" i="24" s="1"/>
  <c r="C65" i="25" s="1"/>
  <c r="I65" i="25" s="1"/>
  <c r="I1680" i="24"/>
  <c r="I1678" i="24"/>
  <c r="I1675" i="24"/>
  <c r="I1674" i="24"/>
  <c r="I1672" i="24"/>
  <c r="I1670" i="24"/>
  <c r="I1668" i="24"/>
  <c r="I1666" i="24"/>
  <c r="I1663" i="24"/>
  <c r="I1662" i="24"/>
  <c r="I1660" i="24"/>
  <c r="I1658" i="24"/>
  <c r="I1656" i="24"/>
  <c r="I1654" i="24"/>
  <c r="H1653" i="24"/>
  <c r="F1653" i="24"/>
  <c r="E1653" i="24"/>
  <c r="D1653" i="24"/>
  <c r="H1652" i="24"/>
  <c r="F1652" i="24"/>
  <c r="E1652" i="24"/>
  <c r="D1652" i="24"/>
  <c r="I1643" i="24"/>
  <c r="I1642" i="24"/>
  <c r="I1638" i="24"/>
  <c r="I1636" i="24"/>
  <c r="I1634" i="24"/>
  <c r="I1632" i="24"/>
  <c r="I1625" i="24"/>
  <c r="I1653" i="24" s="1"/>
  <c r="I1624" i="24"/>
  <c r="I1652" i="24" s="1"/>
  <c r="I1615" i="24"/>
  <c r="I1614" i="24"/>
  <c r="I1610" i="24"/>
  <c r="I1608" i="24"/>
  <c r="I1606" i="24"/>
  <c r="I1604" i="24"/>
  <c r="H1601" i="24"/>
  <c r="H1603" i="24" s="1"/>
  <c r="F1601" i="24"/>
  <c r="F1603" i="24" s="1"/>
  <c r="E1601" i="24"/>
  <c r="E1603" i="24" s="1"/>
  <c r="D1601" i="24"/>
  <c r="D1603" i="24" s="1"/>
  <c r="H1600" i="24"/>
  <c r="H1602" i="24" s="1"/>
  <c r="F1600" i="24"/>
  <c r="F1602" i="24" s="1"/>
  <c r="E1600" i="24"/>
  <c r="E1602" i="24" s="1"/>
  <c r="D1600" i="24"/>
  <c r="D1602" i="24" s="1"/>
  <c r="I1599" i="24"/>
  <c r="H1599" i="24"/>
  <c r="F1599" i="24"/>
  <c r="E1599" i="24"/>
  <c r="D1599" i="24"/>
  <c r="I1598" i="24"/>
  <c r="H1598" i="24"/>
  <c r="F1598" i="24"/>
  <c r="E1598" i="24"/>
  <c r="D1598" i="24"/>
  <c r="F1593" i="24"/>
  <c r="E1593" i="24"/>
  <c r="F1592" i="24"/>
  <c r="E1592" i="24"/>
  <c r="I1581" i="24"/>
  <c r="I1601" i="24" s="1"/>
  <c r="I1603" i="24" s="1"/>
  <c r="I1580" i="24"/>
  <c r="I1600" i="24" s="1"/>
  <c r="I1602" i="24" s="1"/>
  <c r="H1568" i="24"/>
  <c r="H1570" i="24" s="1"/>
  <c r="H1593" i="24" s="1"/>
  <c r="H1567" i="24"/>
  <c r="H1569" i="24" s="1"/>
  <c r="H1592" i="24" s="1"/>
  <c r="I1554" i="24"/>
  <c r="I1593" i="24" s="1"/>
  <c r="I1553" i="24"/>
  <c r="I1592" i="24" s="1"/>
  <c r="I1552" i="24"/>
  <c r="I2130" i="24" s="1"/>
  <c r="I1551" i="24"/>
  <c r="I2133" i="24" s="1"/>
  <c r="I1550" i="24"/>
  <c r="I2132" i="24" s="1"/>
  <c r="I1549" i="24"/>
  <c r="I2131" i="24" s="1"/>
  <c r="D1517" i="24"/>
  <c r="D2137" i="24" s="1"/>
  <c r="D2165" i="24" s="1"/>
  <c r="D1516" i="24"/>
  <c r="D2136" i="24" s="1"/>
  <c r="D2162" i="24" s="1"/>
  <c r="D1515" i="24"/>
  <c r="D2051" i="24" s="1"/>
  <c r="D2066" i="24" s="1"/>
  <c r="D1514" i="24"/>
  <c r="D2050" i="24" s="1"/>
  <c r="D2063" i="24" s="1"/>
  <c r="D1513" i="24"/>
  <c r="D1799" i="24" s="1"/>
  <c r="D1814" i="24" s="1"/>
  <c r="D1512" i="24"/>
  <c r="D1798" i="24" s="1"/>
  <c r="D1811" i="24" s="1"/>
  <c r="D1511" i="24"/>
  <c r="D1883" i="24" s="1"/>
  <c r="D1898" i="24" s="1"/>
  <c r="D1510" i="24"/>
  <c r="D1882" i="24" s="1"/>
  <c r="D1895" i="24" s="1"/>
  <c r="D1509" i="24"/>
  <c r="D1967" i="24" s="1"/>
  <c r="D1982" i="24" s="1"/>
  <c r="D1508" i="24"/>
  <c r="D1966" i="24" s="1"/>
  <c r="D1979" i="24" s="1"/>
  <c r="D1507" i="24"/>
  <c r="D2134" i="24" s="1"/>
  <c r="D2159" i="24" s="1"/>
  <c r="D1506" i="24"/>
  <c r="D2138" i="24" s="1"/>
  <c r="D2168" i="24" s="1"/>
  <c r="I1445" i="24"/>
  <c r="I2137" i="24" s="1"/>
  <c r="I2165" i="24" s="1"/>
  <c r="I1444" i="24"/>
  <c r="I2136" i="24" s="1"/>
  <c r="I2162" i="24" s="1"/>
  <c r="I1443" i="24"/>
  <c r="I2051" i="24" s="1"/>
  <c r="I1442" i="24"/>
  <c r="I2050" i="24" s="1"/>
  <c r="I1441" i="24"/>
  <c r="I1799" i="24" s="1"/>
  <c r="I1814" i="24" s="1"/>
  <c r="I1440" i="24"/>
  <c r="I1798" i="24" s="1"/>
  <c r="I1811" i="24" s="1"/>
  <c r="I1439" i="24"/>
  <c r="I2049" i="24" s="1"/>
  <c r="I1438" i="24"/>
  <c r="I2048" i="24" s="1"/>
  <c r="I1437" i="24"/>
  <c r="I1881" i="24" s="1"/>
  <c r="I1436" i="24"/>
  <c r="I1880" i="24" s="1"/>
  <c r="I1435" i="24"/>
  <c r="I1797" i="24" s="1"/>
  <c r="I1434" i="24"/>
  <c r="I1796" i="24" s="1"/>
  <c r="I1433" i="24"/>
  <c r="I1965" i="24" s="1"/>
  <c r="I1432" i="24"/>
  <c r="I1964" i="24" s="1"/>
  <c r="I1431" i="24"/>
  <c r="I1883" i="24" s="1"/>
  <c r="I1430" i="24"/>
  <c r="I1882" i="24" s="1"/>
  <c r="I1429" i="24"/>
  <c r="I1967" i="24" s="1"/>
  <c r="I1428" i="24"/>
  <c r="I1966" i="24" s="1"/>
  <c r="I1427" i="24"/>
  <c r="I2134" i="24" s="1"/>
  <c r="I2159" i="24" s="1"/>
  <c r="I1426" i="24"/>
  <c r="I2138" i="24" s="1"/>
  <c r="I2168" i="24" s="1"/>
  <c r="I1302" i="24"/>
  <c r="H1300" i="24"/>
  <c r="G1300" i="24"/>
  <c r="F1300" i="24"/>
  <c r="E1300" i="24"/>
  <c r="D1300" i="24"/>
  <c r="I1299" i="24"/>
  <c r="H1296" i="24"/>
  <c r="G57" i="26" s="1"/>
  <c r="G1296" i="24"/>
  <c r="F57" i="26" s="1"/>
  <c r="F1296" i="24"/>
  <c r="E57" i="26" s="1"/>
  <c r="E1296" i="24"/>
  <c r="D57" i="26" s="1"/>
  <c r="D1296" i="24"/>
  <c r="C57" i="26" s="1"/>
  <c r="I1295" i="24"/>
  <c r="H1293" i="24"/>
  <c r="G1293" i="24"/>
  <c r="F1293" i="24"/>
  <c r="E1293" i="24"/>
  <c r="D1293" i="24"/>
  <c r="I1292" i="24"/>
  <c r="I1288" i="24"/>
  <c r="I1285" i="24"/>
  <c r="I1281" i="24"/>
  <c r="H1279" i="24"/>
  <c r="G1279" i="24"/>
  <c r="F1279" i="24"/>
  <c r="E1279" i="24"/>
  <c r="D1279" i="24"/>
  <c r="I1278" i="24"/>
  <c r="H1275" i="24"/>
  <c r="G51" i="26" s="1"/>
  <c r="G1275" i="24"/>
  <c r="F51" i="26" s="1"/>
  <c r="F1275" i="24"/>
  <c r="E51" i="26" s="1"/>
  <c r="E1275" i="24"/>
  <c r="D51" i="26" s="1"/>
  <c r="D1275" i="24"/>
  <c r="C51" i="26" s="1"/>
  <c r="I1274" i="24"/>
  <c r="H1272" i="24"/>
  <c r="G1272" i="24"/>
  <c r="F1272" i="24"/>
  <c r="E1272" i="24"/>
  <c r="D1272" i="24"/>
  <c r="I1271" i="24"/>
  <c r="H1268" i="24"/>
  <c r="G50" i="26" s="1"/>
  <c r="G1268" i="24"/>
  <c r="F50" i="26" s="1"/>
  <c r="F1268" i="24"/>
  <c r="E50" i="26" s="1"/>
  <c r="E1268" i="24"/>
  <c r="D50" i="26" s="1"/>
  <c r="D1268" i="24"/>
  <c r="C50" i="26" s="1"/>
  <c r="I1267" i="24"/>
  <c r="H1265" i="24"/>
  <c r="G1265" i="24"/>
  <c r="F1265" i="24"/>
  <c r="E1265" i="24"/>
  <c r="D1265" i="24"/>
  <c r="I1264" i="24"/>
  <c r="H1261" i="24"/>
  <c r="G54" i="26" s="1"/>
  <c r="G1261" i="24"/>
  <c r="F54" i="26" s="1"/>
  <c r="F1261" i="24"/>
  <c r="E54" i="26" s="1"/>
  <c r="E1261" i="24"/>
  <c r="D54" i="26" s="1"/>
  <c r="D1261" i="24"/>
  <c r="C54" i="26" s="1"/>
  <c r="I1260" i="24"/>
  <c r="H1258" i="24"/>
  <c r="G1258" i="24"/>
  <c r="F1258" i="24"/>
  <c r="E1258" i="24"/>
  <c r="D1258" i="24"/>
  <c r="I1257" i="24"/>
  <c r="H1254" i="24"/>
  <c r="G55" i="26" s="1"/>
  <c r="G1254" i="24"/>
  <c r="F55" i="26" s="1"/>
  <c r="F1254" i="24"/>
  <c r="E55" i="26" s="1"/>
  <c r="E1254" i="24"/>
  <c r="D55" i="26" s="1"/>
  <c r="D1254" i="24"/>
  <c r="C55" i="26" s="1"/>
  <c r="I1253" i="24"/>
  <c r="H1251" i="24"/>
  <c r="G1251" i="24"/>
  <c r="F1251" i="24"/>
  <c r="E1251" i="24"/>
  <c r="D1251" i="24"/>
  <c r="I1250" i="24"/>
  <c r="H1247" i="24"/>
  <c r="G53" i="26" s="1"/>
  <c r="G1247" i="24"/>
  <c r="F53" i="26" s="1"/>
  <c r="F1247" i="24"/>
  <c r="E53" i="26" s="1"/>
  <c r="E1247" i="24"/>
  <c r="D53" i="26" s="1"/>
  <c r="D1247" i="24"/>
  <c r="C53" i="26" s="1"/>
  <c r="I1246" i="24"/>
  <c r="H107" i="26" s="1"/>
  <c r="H1244" i="24"/>
  <c r="G1244" i="24"/>
  <c r="F1244" i="24"/>
  <c r="E1244" i="24"/>
  <c r="D1244" i="24"/>
  <c r="I1243" i="24"/>
  <c r="H106" i="26" s="1"/>
  <c r="I1238" i="24"/>
  <c r="I1300" i="24" s="1"/>
  <c r="I1237" i="24"/>
  <c r="I1303" i="24" s="1"/>
  <c r="H58" i="26" s="1"/>
  <c r="H1237" i="24"/>
  <c r="H1303" i="24" s="1"/>
  <c r="G58" i="26" s="1"/>
  <c r="G1237" i="24"/>
  <c r="G1303" i="24" s="1"/>
  <c r="F58" i="26" s="1"/>
  <c r="F1237" i="24"/>
  <c r="F1303" i="24" s="1"/>
  <c r="E58" i="26" s="1"/>
  <c r="E1237" i="24"/>
  <c r="E1303" i="24" s="1"/>
  <c r="D58" i="26" s="1"/>
  <c r="D1237" i="24"/>
  <c r="D1303" i="24" s="1"/>
  <c r="C58" i="26" s="1"/>
  <c r="I1235" i="24"/>
  <c r="I1293" i="24" s="1"/>
  <c r="I1234" i="24"/>
  <c r="I1296" i="24" s="1"/>
  <c r="H57" i="26" s="1"/>
  <c r="H1232" i="24"/>
  <c r="H1286" i="24" s="1"/>
  <c r="G1232" i="24"/>
  <c r="G1286" i="24" s="1"/>
  <c r="F1232" i="24"/>
  <c r="F1286" i="24" s="1"/>
  <c r="E1232" i="24"/>
  <c r="E1286" i="24" s="1"/>
  <c r="D1232" i="24"/>
  <c r="D1286" i="24" s="1"/>
  <c r="I1229" i="24"/>
  <c r="I1228" i="24"/>
  <c r="H1228" i="24"/>
  <c r="G1228" i="24"/>
  <c r="F1228" i="24"/>
  <c r="E1228" i="24"/>
  <c r="D1228" i="24"/>
  <c r="I1226" i="24"/>
  <c r="I1272" i="24" s="1"/>
  <c r="I1225" i="24"/>
  <c r="I1275" i="24" s="1"/>
  <c r="H51" i="26" s="1"/>
  <c r="I1223" i="24"/>
  <c r="I1265" i="24" s="1"/>
  <c r="I1222" i="24"/>
  <c r="I1268" i="24" s="1"/>
  <c r="H50" i="26" s="1"/>
  <c r="I1220" i="24"/>
  <c r="I1258" i="24" s="1"/>
  <c r="I1219" i="24"/>
  <c r="I1261" i="24" s="1"/>
  <c r="H54" i="26" s="1"/>
  <c r="I1217" i="24"/>
  <c r="I1251" i="24" s="1"/>
  <c r="I1216" i="24"/>
  <c r="I1254" i="24" s="1"/>
  <c r="H55" i="26" s="1"/>
  <c r="I1214" i="24"/>
  <c r="I1244" i="24" s="1"/>
  <c r="I1213" i="24"/>
  <c r="I1247" i="24" s="1"/>
  <c r="H53" i="26" s="1"/>
  <c r="I1209" i="24"/>
  <c r="I1208" i="24"/>
  <c r="I1201" i="24"/>
  <c r="I1200" i="24"/>
  <c r="I1199" i="24"/>
  <c r="I1198" i="24"/>
  <c r="I1196" i="24"/>
  <c r="I1194" i="24"/>
  <c r="I1191" i="24"/>
  <c r="I1190" i="24"/>
  <c r="I1189" i="24"/>
  <c r="I1188" i="24"/>
  <c r="I1186" i="24"/>
  <c r="I1184" i="24"/>
  <c r="I1181" i="24"/>
  <c r="I1180" i="24"/>
  <c r="I1179" i="24"/>
  <c r="I1178" i="24"/>
  <c r="I1176" i="24"/>
  <c r="I1174" i="24"/>
  <c r="I1171" i="24"/>
  <c r="I1170" i="24"/>
  <c r="I1168" i="24"/>
  <c r="I1166" i="24"/>
  <c r="I1163" i="24"/>
  <c r="I1162" i="24"/>
  <c r="I1161" i="24"/>
  <c r="I1160" i="24"/>
  <c r="I1153" i="24"/>
  <c r="I1152" i="24"/>
  <c r="I1151" i="24"/>
  <c r="I1150" i="24"/>
  <c r="H105" i="26" s="1"/>
  <c r="I1148" i="24"/>
  <c r="I1145" i="24"/>
  <c r="I1206" i="24" s="1"/>
  <c r="H1145" i="24"/>
  <c r="H1206" i="24" s="1"/>
  <c r="G1145" i="24"/>
  <c r="G1206" i="24" s="1"/>
  <c r="F1145" i="24"/>
  <c r="F1206" i="24" s="1"/>
  <c r="E1145" i="24"/>
  <c r="E1206" i="24" s="1"/>
  <c r="D1145" i="24"/>
  <c r="D1206" i="24" s="1"/>
  <c r="I1144" i="24"/>
  <c r="I1204" i="24" s="1"/>
  <c r="H1144" i="24"/>
  <c r="H1204" i="24" s="1"/>
  <c r="G1144" i="24"/>
  <c r="G1204" i="24" s="1"/>
  <c r="F1144" i="24"/>
  <c r="F1204" i="24" s="1"/>
  <c r="E1144" i="24"/>
  <c r="E1204" i="24" s="1"/>
  <c r="D1144" i="24"/>
  <c r="D1204" i="24" s="1"/>
  <c r="H1143" i="24"/>
  <c r="H1158" i="24" s="1"/>
  <c r="G1143" i="24"/>
  <c r="G1158" i="24" s="1"/>
  <c r="F1143" i="24"/>
  <c r="F1158" i="24" s="1"/>
  <c r="E1143" i="24"/>
  <c r="E1158" i="24" s="1"/>
  <c r="D1143" i="24"/>
  <c r="D1158" i="24" s="1"/>
  <c r="H1142" i="24"/>
  <c r="G1142" i="24"/>
  <c r="F1142" i="24"/>
  <c r="E1142" i="24"/>
  <c r="D1142" i="24"/>
  <c r="H1141" i="24"/>
  <c r="G1141" i="24"/>
  <c r="F1141" i="24"/>
  <c r="E1141" i="24"/>
  <c r="D1141" i="24"/>
  <c r="H1140" i="24"/>
  <c r="G1140" i="24"/>
  <c r="F1140" i="24"/>
  <c r="E1140" i="24"/>
  <c r="D1140" i="24"/>
  <c r="I1137" i="24"/>
  <c r="I1136" i="24"/>
  <c r="I1135" i="24"/>
  <c r="I1138" i="24" s="1"/>
  <c r="I1241" i="24" s="1"/>
  <c r="I1133" i="24"/>
  <c r="I1132" i="24"/>
  <c r="I1131" i="24"/>
  <c r="I1134" i="24" s="1"/>
  <c r="I1240" i="24" s="1"/>
  <c r="H1130" i="24"/>
  <c r="H1241" i="24" s="1"/>
  <c r="H1126" i="24"/>
  <c r="H1240" i="24" s="1"/>
  <c r="G1122" i="24"/>
  <c r="G1241" i="24" s="1"/>
  <c r="G1118" i="24"/>
  <c r="G1240" i="24" s="1"/>
  <c r="F1114" i="24"/>
  <c r="F1241" i="24" s="1"/>
  <c r="F1110" i="24"/>
  <c r="F1240" i="24" s="1"/>
  <c r="E1106" i="24"/>
  <c r="E1241" i="24" s="1"/>
  <c r="E1102" i="24"/>
  <c r="E1240" i="24" s="1"/>
  <c r="D1098" i="24"/>
  <c r="D1241" i="24" s="1"/>
  <c r="D1094" i="24"/>
  <c r="D1240" i="24" s="1"/>
  <c r="I1090" i="24"/>
  <c r="I1089" i="24"/>
  <c r="I1088" i="24"/>
  <c r="I1087" i="24"/>
  <c r="I1143" i="24" s="1"/>
  <c r="I1158" i="24" s="1"/>
  <c r="I1086" i="24"/>
  <c r="I1085" i="24"/>
  <c r="I1084" i="24"/>
  <c r="I1083" i="24"/>
  <c r="I1141" i="24" s="1"/>
  <c r="I1042" i="24"/>
  <c r="I1041" i="24"/>
  <c r="I1142" i="24" s="1"/>
  <c r="I1038" i="24"/>
  <c r="I1037" i="24"/>
  <c r="I1140" i="24" s="1"/>
  <c r="I983" i="24"/>
  <c r="I982" i="24"/>
  <c r="I975" i="24"/>
  <c r="I974" i="24"/>
  <c r="I973" i="24"/>
  <c r="I972" i="24"/>
  <c r="I970" i="24"/>
  <c r="I968" i="24"/>
  <c r="I965" i="24"/>
  <c r="I964" i="24"/>
  <c r="I963" i="24"/>
  <c r="I962" i="24"/>
  <c r="I960" i="24"/>
  <c r="I958" i="24"/>
  <c r="I955" i="24"/>
  <c r="I954" i="24"/>
  <c r="I953" i="24"/>
  <c r="I952" i="24"/>
  <c r="I950" i="24"/>
  <c r="I948" i="24"/>
  <c r="I945" i="24"/>
  <c r="I944" i="24"/>
  <c r="I942" i="24"/>
  <c r="I940" i="24"/>
  <c r="I937" i="24"/>
  <c r="I936" i="24"/>
  <c r="I935" i="24"/>
  <c r="I934" i="24"/>
  <c r="I927" i="24"/>
  <c r="I926" i="24"/>
  <c r="I925" i="24"/>
  <c r="I924" i="24"/>
  <c r="H103" i="26" s="1"/>
  <c r="I922" i="24"/>
  <c r="I919" i="24"/>
  <c r="I980" i="24" s="1"/>
  <c r="H919" i="24"/>
  <c r="H980" i="24" s="1"/>
  <c r="G919" i="24"/>
  <c r="G980" i="24" s="1"/>
  <c r="F919" i="24"/>
  <c r="F980" i="24" s="1"/>
  <c r="E919" i="24"/>
  <c r="E980" i="24" s="1"/>
  <c r="D919" i="24"/>
  <c r="D980" i="24" s="1"/>
  <c r="H918" i="24"/>
  <c r="H932" i="24" s="1"/>
  <c r="G918" i="24"/>
  <c r="G932" i="24" s="1"/>
  <c r="F918" i="24"/>
  <c r="F932" i="24" s="1"/>
  <c r="E918" i="24"/>
  <c r="E932" i="24" s="1"/>
  <c r="D918" i="24"/>
  <c r="D932" i="24" s="1"/>
  <c r="H917" i="24"/>
  <c r="G917" i="24"/>
  <c r="F917" i="24"/>
  <c r="E917" i="24"/>
  <c r="D917" i="24"/>
  <c r="I916" i="24"/>
  <c r="I978" i="24" s="1"/>
  <c r="H916" i="24"/>
  <c r="H978" i="24" s="1"/>
  <c r="G916" i="24"/>
  <c r="G978" i="24" s="1"/>
  <c r="F916" i="24"/>
  <c r="F978" i="24" s="1"/>
  <c r="E916" i="24"/>
  <c r="E978" i="24" s="1"/>
  <c r="D916" i="24"/>
  <c r="D978" i="24" s="1"/>
  <c r="H915" i="24"/>
  <c r="G915" i="24"/>
  <c r="F915" i="24"/>
  <c r="E915" i="24"/>
  <c r="D915" i="24"/>
  <c r="I912" i="24"/>
  <c r="I911" i="24"/>
  <c r="I910" i="24"/>
  <c r="I909" i="24"/>
  <c r="I888" i="24"/>
  <c r="I887" i="24"/>
  <c r="I886" i="24"/>
  <c r="I885" i="24"/>
  <c r="I884" i="24"/>
  <c r="I883" i="24"/>
  <c r="I882" i="24"/>
  <c r="I881" i="24"/>
  <c r="I918" i="24" s="1"/>
  <c r="I932" i="24" s="1"/>
  <c r="I880" i="24"/>
  <c r="I879" i="24"/>
  <c r="I878" i="24"/>
  <c r="I877" i="24"/>
  <c r="I876" i="24"/>
  <c r="I875" i="24"/>
  <c r="I874" i="24"/>
  <c r="I873" i="24"/>
  <c r="I915" i="24" s="1"/>
  <c r="I792" i="24"/>
  <c r="I791" i="24"/>
  <c r="I917" i="24" s="1"/>
  <c r="I787" i="24"/>
  <c r="I789" i="24" s="1"/>
  <c r="I786" i="24"/>
  <c r="I788" i="24" s="1"/>
  <c r="I790" i="24" s="1"/>
  <c r="I914" i="24" s="1"/>
  <c r="H782" i="24"/>
  <c r="H781" i="24"/>
  <c r="H783" i="24" s="1"/>
  <c r="H914" i="24" s="1"/>
  <c r="G776" i="24"/>
  <c r="G914" i="24" s="1"/>
  <c r="F770" i="24"/>
  <c r="F769" i="24"/>
  <c r="F771" i="24" s="1"/>
  <c r="F914" i="24" s="1"/>
  <c r="E763" i="24"/>
  <c r="E762" i="24"/>
  <c r="E764" i="24" s="1"/>
  <c r="E914" i="24" s="1"/>
  <c r="D757" i="24"/>
  <c r="D914" i="24" s="1"/>
  <c r="I743" i="24"/>
  <c r="H737" i="24"/>
  <c r="G737" i="24"/>
  <c r="F737" i="24"/>
  <c r="E737" i="24"/>
  <c r="D737" i="24"/>
  <c r="I736" i="24"/>
  <c r="H734" i="24"/>
  <c r="G734" i="24"/>
  <c r="F734" i="24"/>
  <c r="E734" i="24"/>
  <c r="D734" i="24"/>
  <c r="I733" i="24"/>
  <c r="H730" i="24"/>
  <c r="G730" i="24"/>
  <c r="F730" i="24"/>
  <c r="E730" i="24"/>
  <c r="D730" i="24"/>
  <c r="I729" i="24"/>
  <c r="H727" i="24"/>
  <c r="G727" i="24"/>
  <c r="F727" i="24"/>
  <c r="E727" i="24"/>
  <c r="D727" i="24"/>
  <c r="I726" i="24"/>
  <c r="H723" i="24"/>
  <c r="G723" i="24"/>
  <c r="F723" i="24"/>
  <c r="E723" i="24"/>
  <c r="D723" i="24"/>
  <c r="I722" i="24"/>
  <c r="D720" i="24"/>
  <c r="I719" i="24"/>
  <c r="H716" i="24"/>
  <c r="G716" i="24"/>
  <c r="F716" i="24"/>
  <c r="E716" i="24"/>
  <c r="D716" i="24"/>
  <c r="I715" i="24"/>
  <c r="H713" i="24"/>
  <c r="G713" i="24"/>
  <c r="F713" i="24"/>
  <c r="E713" i="24"/>
  <c r="D713" i="24"/>
  <c r="I712" i="24"/>
  <c r="H709" i="24"/>
  <c r="G709" i="24"/>
  <c r="F709" i="24"/>
  <c r="E709" i="24"/>
  <c r="D709" i="24"/>
  <c r="I708" i="24"/>
  <c r="H706" i="24"/>
  <c r="G706" i="24"/>
  <c r="F706" i="24"/>
  <c r="E706" i="24"/>
  <c r="D706" i="24"/>
  <c r="I705" i="24"/>
  <c r="H702" i="24"/>
  <c r="G702" i="24"/>
  <c r="F702" i="24"/>
  <c r="E702" i="24"/>
  <c r="D702" i="24"/>
  <c r="I701" i="24"/>
  <c r="H699" i="24"/>
  <c r="G699" i="24"/>
  <c r="F699" i="24"/>
  <c r="E699" i="24"/>
  <c r="D699" i="24"/>
  <c r="I698" i="24"/>
  <c r="H695" i="24"/>
  <c r="G695" i="24"/>
  <c r="F695" i="24"/>
  <c r="E695" i="24"/>
  <c r="D695" i="24"/>
  <c r="I694" i="24"/>
  <c r="H692" i="24"/>
  <c r="G692" i="24"/>
  <c r="F692" i="24"/>
  <c r="E692" i="24"/>
  <c r="D692" i="24"/>
  <c r="I691" i="24"/>
  <c r="H688" i="24"/>
  <c r="G688" i="24"/>
  <c r="F688" i="24"/>
  <c r="E688" i="24"/>
  <c r="D688" i="24"/>
  <c r="I687" i="24"/>
  <c r="H685" i="24"/>
  <c r="G685" i="24"/>
  <c r="F685" i="24"/>
  <c r="E685" i="24"/>
  <c r="D685" i="24"/>
  <c r="I684" i="24"/>
  <c r="H681" i="24"/>
  <c r="G681" i="24"/>
  <c r="F681" i="24"/>
  <c r="E681" i="24"/>
  <c r="D681" i="24"/>
  <c r="I680" i="24"/>
  <c r="H101" i="26" s="1"/>
  <c r="H678" i="24"/>
  <c r="G678" i="24"/>
  <c r="F678" i="24"/>
  <c r="E678" i="24"/>
  <c r="D678" i="24"/>
  <c r="I677" i="24"/>
  <c r="H100" i="26" s="1"/>
  <c r="H675" i="24"/>
  <c r="H720" i="24" s="1"/>
  <c r="G675" i="24"/>
  <c r="G720" i="24" s="1"/>
  <c r="F675" i="24"/>
  <c r="F720" i="24" s="1"/>
  <c r="E675" i="24"/>
  <c r="E720" i="24" s="1"/>
  <c r="H674" i="24"/>
  <c r="G674" i="24"/>
  <c r="F674" i="24"/>
  <c r="E674" i="24"/>
  <c r="D674" i="24"/>
  <c r="G673" i="24"/>
  <c r="D673" i="24"/>
  <c r="I672" i="24"/>
  <c r="I742" i="24" s="1"/>
  <c r="H672" i="24"/>
  <c r="H742" i="24" s="1"/>
  <c r="G672" i="24"/>
  <c r="G742" i="24" s="1"/>
  <c r="F672" i="24"/>
  <c r="F742" i="24" s="1"/>
  <c r="E672" i="24"/>
  <c r="E742" i="24" s="1"/>
  <c r="D672" i="24"/>
  <c r="D742" i="24" s="1"/>
  <c r="I671" i="24"/>
  <c r="I734" i="24" s="1"/>
  <c r="I670" i="24"/>
  <c r="I737" i="24" s="1"/>
  <c r="I669" i="24"/>
  <c r="I740" i="24" s="1"/>
  <c r="H669" i="24"/>
  <c r="H740" i="24" s="1"/>
  <c r="G669" i="24"/>
  <c r="G740" i="24" s="1"/>
  <c r="F669" i="24"/>
  <c r="F740" i="24" s="1"/>
  <c r="E669" i="24"/>
  <c r="E740" i="24" s="1"/>
  <c r="D669" i="24"/>
  <c r="D740" i="24" s="1"/>
  <c r="I667" i="24"/>
  <c r="I727" i="24" s="1"/>
  <c r="I666" i="24"/>
  <c r="I730" i="24" s="1"/>
  <c r="I665" i="24"/>
  <c r="I723" i="24" s="1"/>
  <c r="I663" i="24"/>
  <c r="I713" i="24" s="1"/>
  <c r="I662" i="24"/>
  <c r="I716" i="24" s="1"/>
  <c r="I661" i="24"/>
  <c r="I706" i="24" s="1"/>
  <c r="I660" i="24"/>
  <c r="I709" i="24" s="1"/>
  <c r="I659" i="24"/>
  <c r="I699" i="24" s="1"/>
  <c r="I658" i="24"/>
  <c r="I702" i="24" s="1"/>
  <c r="I657" i="24"/>
  <c r="I692" i="24" s="1"/>
  <c r="I656" i="24"/>
  <c r="I695" i="24" s="1"/>
  <c r="I655" i="24"/>
  <c r="I685" i="24" s="1"/>
  <c r="I654" i="24"/>
  <c r="I688" i="24" s="1"/>
  <c r="I653" i="24"/>
  <c r="I678" i="24" s="1"/>
  <c r="I652" i="24"/>
  <c r="I681" i="24" s="1"/>
  <c r="I649" i="24"/>
  <c r="H643" i="24"/>
  <c r="G643" i="24"/>
  <c r="F643" i="24"/>
  <c r="E643" i="24"/>
  <c r="D643" i="24"/>
  <c r="I642" i="24"/>
  <c r="H640" i="24"/>
  <c r="G640" i="24"/>
  <c r="F640" i="24"/>
  <c r="E640" i="24"/>
  <c r="D640" i="24"/>
  <c r="I639" i="24"/>
  <c r="H636" i="24"/>
  <c r="G636" i="24"/>
  <c r="F636" i="24"/>
  <c r="E636" i="24"/>
  <c r="D636" i="24"/>
  <c r="I635" i="24"/>
  <c r="H633" i="24"/>
  <c r="G633" i="24"/>
  <c r="F633" i="24"/>
  <c r="E633" i="24"/>
  <c r="D633" i="24"/>
  <c r="I632" i="24"/>
  <c r="H629" i="24"/>
  <c r="G629" i="24"/>
  <c r="F629" i="24"/>
  <c r="E629" i="24"/>
  <c r="D629" i="24"/>
  <c r="I628" i="24"/>
  <c r="D626" i="24"/>
  <c r="I625" i="24"/>
  <c r="H622" i="24"/>
  <c r="G622" i="24"/>
  <c r="F622" i="24"/>
  <c r="E622" i="24"/>
  <c r="D622" i="24"/>
  <c r="I621" i="24"/>
  <c r="H619" i="24"/>
  <c r="G619" i="24"/>
  <c r="F619" i="24"/>
  <c r="E619" i="24"/>
  <c r="D619" i="24"/>
  <c r="I618" i="24"/>
  <c r="H615" i="24"/>
  <c r="G615" i="24"/>
  <c r="F615" i="24"/>
  <c r="E615" i="24"/>
  <c r="D615" i="24"/>
  <c r="I614" i="24"/>
  <c r="H612" i="24"/>
  <c r="G612" i="24"/>
  <c r="F612" i="24"/>
  <c r="E612" i="24"/>
  <c r="D612" i="24"/>
  <c r="I611" i="24"/>
  <c r="H608" i="24"/>
  <c r="G608" i="24"/>
  <c r="F608" i="24"/>
  <c r="E608" i="24"/>
  <c r="D608" i="24"/>
  <c r="I607" i="24"/>
  <c r="H605" i="24"/>
  <c r="G605" i="24"/>
  <c r="F605" i="24"/>
  <c r="E605" i="24"/>
  <c r="D605" i="24"/>
  <c r="I604" i="24"/>
  <c r="H601" i="24"/>
  <c r="G601" i="24"/>
  <c r="F601" i="24"/>
  <c r="E601" i="24"/>
  <c r="D601" i="24"/>
  <c r="I600" i="24"/>
  <c r="H598" i="24"/>
  <c r="G598" i="24"/>
  <c r="F598" i="24"/>
  <c r="E598" i="24"/>
  <c r="D598" i="24"/>
  <c r="I597" i="24"/>
  <c r="H594" i="24"/>
  <c r="G594" i="24"/>
  <c r="F594" i="24"/>
  <c r="E594" i="24"/>
  <c r="D594" i="24"/>
  <c r="I593" i="24"/>
  <c r="H591" i="24"/>
  <c r="G591" i="24"/>
  <c r="F591" i="24"/>
  <c r="E591" i="24"/>
  <c r="D591" i="24"/>
  <c r="I590" i="24"/>
  <c r="H587" i="24"/>
  <c r="G587" i="24"/>
  <c r="F587" i="24"/>
  <c r="E587" i="24"/>
  <c r="D587" i="24"/>
  <c r="I586" i="24"/>
  <c r="H99" i="26" s="1"/>
  <c r="H584" i="24"/>
  <c r="G584" i="24"/>
  <c r="F584" i="24"/>
  <c r="E584" i="24"/>
  <c r="D584" i="24"/>
  <c r="I583" i="24"/>
  <c r="H98" i="26" s="1"/>
  <c r="H581" i="24"/>
  <c r="H626" i="24" s="1"/>
  <c r="G581" i="24"/>
  <c r="G626" i="24" s="1"/>
  <c r="F581" i="24"/>
  <c r="F626" i="24" s="1"/>
  <c r="E581" i="24"/>
  <c r="E626" i="24" s="1"/>
  <c r="H580" i="24"/>
  <c r="G580" i="24"/>
  <c r="F580" i="24"/>
  <c r="E580" i="24"/>
  <c r="D580" i="24"/>
  <c r="G579" i="24"/>
  <c r="D579" i="24"/>
  <c r="I578" i="24"/>
  <c r="I648" i="24" s="1"/>
  <c r="H578" i="24"/>
  <c r="H648" i="24" s="1"/>
  <c r="G578" i="24"/>
  <c r="G648" i="24" s="1"/>
  <c r="F578" i="24"/>
  <c r="F648" i="24" s="1"/>
  <c r="E578" i="24"/>
  <c r="E648" i="24" s="1"/>
  <c r="D578" i="24"/>
  <c r="D648" i="24" s="1"/>
  <c r="I577" i="24"/>
  <c r="I640" i="24" s="1"/>
  <c r="I576" i="24"/>
  <c r="I643" i="24" s="1"/>
  <c r="I575" i="24"/>
  <c r="I646" i="24" s="1"/>
  <c r="H575" i="24"/>
  <c r="H646" i="24" s="1"/>
  <c r="G575" i="24"/>
  <c r="G646" i="24" s="1"/>
  <c r="F575" i="24"/>
  <c r="F646" i="24" s="1"/>
  <c r="E575" i="24"/>
  <c r="E646" i="24" s="1"/>
  <c r="D575" i="24"/>
  <c r="D646" i="24" s="1"/>
  <c r="I573" i="24"/>
  <c r="I633" i="24" s="1"/>
  <c r="I572" i="24"/>
  <c r="I636" i="24" s="1"/>
  <c r="I571" i="24"/>
  <c r="I629" i="24" s="1"/>
  <c r="I569" i="24"/>
  <c r="I619" i="24" s="1"/>
  <c r="I568" i="24"/>
  <c r="I622" i="24" s="1"/>
  <c r="I567" i="24"/>
  <c r="I612" i="24" s="1"/>
  <c r="I566" i="24"/>
  <c r="I615" i="24" s="1"/>
  <c r="I565" i="24"/>
  <c r="I605" i="24" s="1"/>
  <c r="I564" i="24"/>
  <c r="I608" i="24" s="1"/>
  <c r="I563" i="24"/>
  <c r="I598" i="24" s="1"/>
  <c r="I562" i="24"/>
  <c r="I601" i="24" s="1"/>
  <c r="I561" i="24"/>
  <c r="I591" i="24" s="1"/>
  <c r="I560" i="24"/>
  <c r="I594" i="24" s="1"/>
  <c r="I559" i="24"/>
  <c r="I584" i="24" s="1"/>
  <c r="I558" i="24"/>
  <c r="I587" i="24" s="1"/>
  <c r="I555" i="24"/>
  <c r="I551" i="24"/>
  <c r="I550" i="24"/>
  <c r="I548" i="24"/>
  <c r="I546" i="24"/>
  <c r="I545" i="24"/>
  <c r="I543" i="24"/>
  <c r="I541" i="24"/>
  <c r="I540" i="24"/>
  <c r="I538" i="24"/>
  <c r="I536" i="24"/>
  <c r="I535" i="24"/>
  <c r="I533" i="24"/>
  <c r="I531" i="24"/>
  <c r="I530" i="24"/>
  <c r="I528" i="24"/>
  <c r="I526" i="24"/>
  <c r="I525" i="24"/>
  <c r="I521" i="24"/>
  <c r="I520" i="24"/>
  <c r="I518" i="24"/>
  <c r="I516" i="24"/>
  <c r="I515" i="24"/>
  <c r="H97" i="26" s="1"/>
  <c r="I513" i="24"/>
  <c r="I511" i="24"/>
  <c r="I510" i="24"/>
  <c r="I508" i="24"/>
  <c r="H507" i="24"/>
  <c r="H523" i="24" s="1"/>
  <c r="G507" i="24"/>
  <c r="G523" i="24" s="1"/>
  <c r="F507" i="24"/>
  <c r="F523" i="24" s="1"/>
  <c r="E507" i="24"/>
  <c r="E523" i="24" s="1"/>
  <c r="D507" i="24"/>
  <c r="D523" i="24" s="1"/>
  <c r="G506" i="24"/>
  <c r="G534" i="24" s="1"/>
  <c r="G537" i="24" s="1"/>
  <c r="D506" i="24"/>
  <c r="D534" i="24" s="1"/>
  <c r="D537" i="24" s="1"/>
  <c r="G505" i="24"/>
  <c r="D505" i="24"/>
  <c r="I504" i="24"/>
  <c r="I553" i="24" s="1"/>
  <c r="H504" i="24"/>
  <c r="H553" i="24" s="1"/>
  <c r="G504" i="24"/>
  <c r="G553" i="24" s="1"/>
  <c r="F504" i="24"/>
  <c r="F553" i="24" s="1"/>
  <c r="E504" i="24"/>
  <c r="E553" i="24" s="1"/>
  <c r="D504" i="24"/>
  <c r="D553" i="24" s="1"/>
  <c r="I502" i="24"/>
  <c r="I674" i="24" s="1"/>
  <c r="I501" i="24"/>
  <c r="I580" i="24" s="1"/>
  <c r="I500" i="24"/>
  <c r="I675" i="24" s="1"/>
  <c r="I720" i="24" s="1"/>
  <c r="I499" i="24"/>
  <c r="I581" i="24" s="1"/>
  <c r="I626" i="24" s="1"/>
  <c r="I496" i="24"/>
  <c r="I498" i="24" s="1"/>
  <c r="I673" i="24" s="1"/>
  <c r="I495" i="24"/>
  <c r="I497" i="24" s="1"/>
  <c r="I579" i="24" s="1"/>
  <c r="H490" i="24"/>
  <c r="H673" i="24" s="1"/>
  <c r="H489" i="24"/>
  <c r="H579" i="24" s="1"/>
  <c r="F476" i="24"/>
  <c r="F673" i="24" s="1"/>
  <c r="F475" i="24"/>
  <c r="F579" i="24" s="1"/>
  <c r="E468" i="24"/>
  <c r="E673" i="24" s="1"/>
  <c r="E467" i="24"/>
  <c r="E579" i="24" s="1"/>
  <c r="I459" i="24"/>
  <c r="I457" i="24"/>
  <c r="I507" i="24" s="1"/>
  <c r="I523" i="24" s="1"/>
  <c r="I456" i="24"/>
  <c r="I454" i="24"/>
  <c r="I452" i="24"/>
  <c r="I455" i="24" s="1"/>
  <c r="I506" i="24" s="1"/>
  <c r="I534" i="24" s="1"/>
  <c r="I451" i="24"/>
  <c r="I453" i="24" s="1"/>
  <c r="I505" i="24" s="1"/>
  <c r="H446" i="24"/>
  <c r="H445" i="24"/>
  <c r="H506" i="24" s="1"/>
  <c r="H534" i="24" s="1"/>
  <c r="H537" i="24" s="1"/>
  <c r="H444" i="24"/>
  <c r="H443" i="24"/>
  <c r="H505" i="24" s="1"/>
  <c r="F426" i="24"/>
  <c r="F425" i="24"/>
  <c r="F506" i="24" s="1"/>
  <c r="F534" i="24" s="1"/>
  <c r="F537" i="24" s="1"/>
  <c r="F424" i="24"/>
  <c r="F423" i="24"/>
  <c r="F505" i="24" s="1"/>
  <c r="E413" i="24"/>
  <c r="E506" i="24" s="1"/>
  <c r="E534" i="24" s="1"/>
  <c r="E537" i="24" s="1"/>
  <c r="E412" i="24"/>
  <c r="E411" i="24"/>
  <c r="E505" i="24" s="1"/>
  <c r="I386" i="24"/>
  <c r="H380" i="24"/>
  <c r="G380" i="24"/>
  <c r="F380" i="24"/>
  <c r="E380" i="24"/>
  <c r="D380" i="24"/>
  <c r="I379" i="24"/>
  <c r="H377" i="24"/>
  <c r="G377" i="24"/>
  <c r="F377" i="24"/>
  <c r="E377" i="24"/>
  <c r="D377" i="24"/>
  <c r="I376" i="24"/>
  <c r="H373" i="24"/>
  <c r="G373" i="24"/>
  <c r="F373" i="24"/>
  <c r="E373" i="24"/>
  <c r="D373" i="24"/>
  <c r="I372" i="24"/>
  <c r="H370" i="24"/>
  <c r="G370" i="24"/>
  <c r="F370" i="24"/>
  <c r="E370" i="24"/>
  <c r="D370" i="24"/>
  <c r="I369" i="24"/>
  <c r="I366" i="24"/>
  <c r="H365" i="24"/>
  <c r="G365" i="24"/>
  <c r="F365" i="24"/>
  <c r="E365" i="24"/>
  <c r="D365" i="24"/>
  <c r="I364" i="24"/>
  <c r="H359" i="24"/>
  <c r="G359" i="24"/>
  <c r="F359" i="24"/>
  <c r="E359" i="24"/>
  <c r="D359" i="24"/>
  <c r="I358" i="24"/>
  <c r="H356" i="24"/>
  <c r="G356" i="24"/>
  <c r="F356" i="24"/>
  <c r="E356" i="24"/>
  <c r="D356" i="24"/>
  <c r="I355" i="24"/>
  <c r="H352" i="24"/>
  <c r="G352" i="24"/>
  <c r="F352" i="24"/>
  <c r="E352" i="24"/>
  <c r="D352" i="24"/>
  <c r="I351" i="24"/>
  <c r="H349" i="24"/>
  <c r="G349" i="24"/>
  <c r="F349" i="24"/>
  <c r="E349" i="24"/>
  <c r="D349" i="24"/>
  <c r="I348" i="24"/>
  <c r="H345" i="24"/>
  <c r="G345" i="24"/>
  <c r="F345" i="24"/>
  <c r="E345" i="24"/>
  <c r="D345" i="24"/>
  <c r="I344" i="24"/>
  <c r="H342" i="24"/>
  <c r="G342" i="24"/>
  <c r="F342" i="24"/>
  <c r="E342" i="24"/>
  <c r="D342" i="24"/>
  <c r="I341" i="24"/>
  <c r="H338" i="24"/>
  <c r="G338" i="24"/>
  <c r="F338" i="24"/>
  <c r="E338" i="24"/>
  <c r="D338" i="24"/>
  <c r="I337" i="24"/>
  <c r="H335" i="24"/>
  <c r="G335" i="24"/>
  <c r="F335" i="24"/>
  <c r="E335" i="24"/>
  <c r="D335" i="24"/>
  <c r="I334" i="24"/>
  <c r="H331" i="24"/>
  <c r="G331" i="24"/>
  <c r="F331" i="24"/>
  <c r="E331" i="24"/>
  <c r="D331" i="24"/>
  <c r="I330" i="24"/>
  <c r="H328" i="24"/>
  <c r="G328" i="24"/>
  <c r="F328" i="24"/>
  <c r="E328" i="24"/>
  <c r="D328" i="24"/>
  <c r="I327" i="24"/>
  <c r="H324" i="24"/>
  <c r="G324" i="24"/>
  <c r="F324" i="24"/>
  <c r="E324" i="24"/>
  <c r="D324" i="24"/>
  <c r="I323" i="24"/>
  <c r="H95" i="26" s="1"/>
  <c r="H321" i="24"/>
  <c r="G321" i="24"/>
  <c r="F321" i="24"/>
  <c r="E321" i="24"/>
  <c r="D321" i="24"/>
  <c r="I320" i="24"/>
  <c r="H94" i="26" s="1"/>
  <c r="H318" i="24"/>
  <c r="H362" i="24" s="1"/>
  <c r="G318" i="24"/>
  <c r="G362" i="24" s="1"/>
  <c r="F318" i="24"/>
  <c r="F362" i="24" s="1"/>
  <c r="E318" i="24"/>
  <c r="E362" i="24" s="1"/>
  <c r="D318" i="24"/>
  <c r="D362" i="24" s="1"/>
  <c r="H317" i="24"/>
  <c r="G317" i="24"/>
  <c r="F317" i="24"/>
  <c r="E317" i="24"/>
  <c r="D317" i="24"/>
  <c r="H316" i="24"/>
  <c r="G316" i="24"/>
  <c r="D316" i="24"/>
  <c r="I315" i="24"/>
  <c r="I385" i="24" s="1"/>
  <c r="H315" i="24"/>
  <c r="H385" i="24" s="1"/>
  <c r="G315" i="24"/>
  <c r="G385" i="24" s="1"/>
  <c r="F315" i="24"/>
  <c r="F385" i="24" s="1"/>
  <c r="E315" i="24"/>
  <c r="E385" i="24" s="1"/>
  <c r="D315" i="24"/>
  <c r="D385" i="24" s="1"/>
  <c r="I314" i="24"/>
  <c r="I377" i="24" s="1"/>
  <c r="I313" i="24"/>
  <c r="I380" i="24" s="1"/>
  <c r="I312" i="24"/>
  <c r="I383" i="24" s="1"/>
  <c r="H312" i="24"/>
  <c r="H383" i="24" s="1"/>
  <c r="G312" i="24"/>
  <c r="G383" i="24" s="1"/>
  <c r="F312" i="24"/>
  <c r="F383" i="24" s="1"/>
  <c r="E312" i="24"/>
  <c r="E383" i="24" s="1"/>
  <c r="D312" i="24"/>
  <c r="D383" i="24" s="1"/>
  <c r="I311" i="24"/>
  <c r="I370" i="24" s="1"/>
  <c r="I310" i="24"/>
  <c r="I373" i="24" s="1"/>
  <c r="I309" i="24"/>
  <c r="I365" i="24" s="1"/>
  <c r="I308" i="24"/>
  <c r="I356" i="24" s="1"/>
  <c r="I307" i="24"/>
  <c r="I359" i="24" s="1"/>
  <c r="I306" i="24"/>
  <c r="I349" i="24" s="1"/>
  <c r="I305" i="24"/>
  <c r="I352" i="24" s="1"/>
  <c r="I304" i="24"/>
  <c r="I342" i="24" s="1"/>
  <c r="I303" i="24"/>
  <c r="I345" i="24" s="1"/>
  <c r="I302" i="24"/>
  <c r="I335" i="24" s="1"/>
  <c r="I301" i="24"/>
  <c r="I338" i="24" s="1"/>
  <c r="I300" i="24"/>
  <c r="I328" i="24" s="1"/>
  <c r="I299" i="24"/>
  <c r="I331" i="24" s="1"/>
  <c r="I298" i="24"/>
  <c r="I321" i="24" s="1"/>
  <c r="I297" i="24"/>
  <c r="I324" i="24" s="1"/>
  <c r="I294" i="24"/>
  <c r="H288" i="24"/>
  <c r="G288" i="24"/>
  <c r="F288" i="24"/>
  <c r="E288" i="24"/>
  <c r="D288" i="24"/>
  <c r="I287" i="24"/>
  <c r="H285" i="24"/>
  <c r="G285" i="24"/>
  <c r="F285" i="24"/>
  <c r="E285" i="24"/>
  <c r="D285" i="24"/>
  <c r="I284" i="24"/>
  <c r="H281" i="24"/>
  <c r="G281" i="24"/>
  <c r="F281" i="24"/>
  <c r="E281" i="24"/>
  <c r="D281" i="24"/>
  <c r="I280" i="24"/>
  <c r="H278" i="24"/>
  <c r="G278" i="24"/>
  <c r="F278" i="24"/>
  <c r="E278" i="24"/>
  <c r="D278" i="24"/>
  <c r="I277" i="24"/>
  <c r="I274" i="24"/>
  <c r="H273" i="24"/>
  <c r="G273" i="24"/>
  <c r="F273" i="24"/>
  <c r="E273" i="24"/>
  <c r="D273" i="24"/>
  <c r="I272" i="24"/>
  <c r="H267" i="24"/>
  <c r="G267" i="24"/>
  <c r="F267" i="24"/>
  <c r="E267" i="24"/>
  <c r="D267" i="24"/>
  <c r="I266" i="24"/>
  <c r="H264" i="24"/>
  <c r="G264" i="24"/>
  <c r="F264" i="24"/>
  <c r="E264" i="24"/>
  <c r="D264" i="24"/>
  <c r="I263" i="24"/>
  <c r="H260" i="24"/>
  <c r="G260" i="24"/>
  <c r="F260" i="24"/>
  <c r="E260" i="24"/>
  <c r="D260" i="24"/>
  <c r="I259" i="24"/>
  <c r="H257" i="24"/>
  <c r="G257" i="24"/>
  <c r="F257" i="24"/>
  <c r="E257" i="24"/>
  <c r="D257" i="24"/>
  <c r="I256" i="24"/>
  <c r="H253" i="24"/>
  <c r="G253" i="24"/>
  <c r="F253" i="24"/>
  <c r="E253" i="24"/>
  <c r="D253" i="24"/>
  <c r="I252" i="24"/>
  <c r="H250" i="24"/>
  <c r="G250" i="24"/>
  <c r="F250" i="24"/>
  <c r="E250" i="24"/>
  <c r="D250" i="24"/>
  <c r="I249" i="24"/>
  <c r="H246" i="24"/>
  <c r="G246" i="24"/>
  <c r="F246" i="24"/>
  <c r="E246" i="24"/>
  <c r="D246" i="24"/>
  <c r="I245" i="24"/>
  <c r="H243" i="24"/>
  <c r="G243" i="24"/>
  <c r="F243" i="24"/>
  <c r="E243" i="24"/>
  <c r="D243" i="24"/>
  <c r="I242" i="24"/>
  <c r="H239" i="24"/>
  <c r="G239" i="24"/>
  <c r="F239" i="24"/>
  <c r="E239" i="24"/>
  <c r="D239" i="24"/>
  <c r="I238" i="24"/>
  <c r="H236" i="24"/>
  <c r="G236" i="24"/>
  <c r="F236" i="24"/>
  <c r="E236" i="24"/>
  <c r="D236" i="24"/>
  <c r="I235" i="24"/>
  <c r="H232" i="24"/>
  <c r="G232" i="24"/>
  <c r="F232" i="24"/>
  <c r="E232" i="24"/>
  <c r="D232" i="24"/>
  <c r="I231" i="24"/>
  <c r="H93" i="26" s="1"/>
  <c r="H229" i="24"/>
  <c r="G229" i="24"/>
  <c r="F229" i="24"/>
  <c r="E229" i="24"/>
  <c r="D229" i="24"/>
  <c r="I228" i="24"/>
  <c r="H92" i="26" s="1"/>
  <c r="H226" i="24"/>
  <c r="H270" i="24" s="1"/>
  <c r="G226" i="24"/>
  <c r="G270" i="24" s="1"/>
  <c r="F226" i="24"/>
  <c r="F270" i="24" s="1"/>
  <c r="E226" i="24"/>
  <c r="E270" i="24" s="1"/>
  <c r="D226" i="24"/>
  <c r="D270" i="24" s="1"/>
  <c r="H225" i="24"/>
  <c r="G225" i="24"/>
  <c r="F225" i="24"/>
  <c r="E225" i="24"/>
  <c r="D225" i="24"/>
  <c r="H224" i="24"/>
  <c r="G224" i="24"/>
  <c r="D224" i="24"/>
  <c r="I223" i="24"/>
  <c r="I293" i="24" s="1"/>
  <c r="H223" i="24"/>
  <c r="H293" i="24" s="1"/>
  <c r="G223" i="24"/>
  <c r="G293" i="24" s="1"/>
  <c r="F223" i="24"/>
  <c r="F293" i="24" s="1"/>
  <c r="E223" i="24"/>
  <c r="E293" i="24" s="1"/>
  <c r="D223" i="24"/>
  <c r="D293" i="24" s="1"/>
  <c r="I222" i="24"/>
  <c r="I285" i="24" s="1"/>
  <c r="I221" i="24"/>
  <c r="I288" i="24" s="1"/>
  <c r="I220" i="24"/>
  <c r="I291" i="24" s="1"/>
  <c r="H220" i="24"/>
  <c r="H291" i="24" s="1"/>
  <c r="G220" i="24"/>
  <c r="G291" i="24" s="1"/>
  <c r="F220" i="24"/>
  <c r="F291" i="24" s="1"/>
  <c r="E220" i="24"/>
  <c r="E291" i="24" s="1"/>
  <c r="D220" i="24"/>
  <c r="D291" i="24" s="1"/>
  <c r="I219" i="24"/>
  <c r="I278" i="24" s="1"/>
  <c r="I218" i="24"/>
  <c r="I281" i="24" s="1"/>
  <c r="I217" i="24"/>
  <c r="I273" i="24" s="1"/>
  <c r="I216" i="24"/>
  <c r="I264" i="24" s="1"/>
  <c r="I215" i="24"/>
  <c r="I267" i="24" s="1"/>
  <c r="I214" i="24"/>
  <c r="I257" i="24" s="1"/>
  <c r="I213" i="24"/>
  <c r="I260" i="24" s="1"/>
  <c r="I212" i="24"/>
  <c r="I250" i="24" s="1"/>
  <c r="I211" i="24"/>
  <c r="I253" i="24" s="1"/>
  <c r="I210" i="24"/>
  <c r="I243" i="24" s="1"/>
  <c r="I209" i="24"/>
  <c r="I246" i="24" s="1"/>
  <c r="I208" i="24"/>
  <c r="I236" i="24" s="1"/>
  <c r="I207" i="24"/>
  <c r="I239" i="24" s="1"/>
  <c r="I206" i="24"/>
  <c r="I229" i="24" s="1"/>
  <c r="I205" i="24"/>
  <c r="I232" i="24" s="1"/>
  <c r="I202" i="24"/>
  <c r="I201" i="24"/>
  <c r="I199" i="24"/>
  <c r="I197" i="24"/>
  <c r="I196" i="24"/>
  <c r="I194" i="24"/>
  <c r="I192" i="24"/>
  <c r="I191" i="24"/>
  <c r="I189" i="24"/>
  <c r="I187" i="24"/>
  <c r="I186" i="24"/>
  <c r="I184" i="24"/>
  <c r="I182" i="24"/>
  <c r="I181" i="24"/>
  <c r="I177" i="24"/>
  <c r="I176" i="24"/>
  <c r="D173" i="24"/>
  <c r="I169" i="24"/>
  <c r="I168" i="24"/>
  <c r="I164" i="24"/>
  <c r="I163" i="24"/>
  <c r="I161" i="24"/>
  <c r="I159" i="24"/>
  <c r="I158" i="24"/>
  <c r="I156" i="24"/>
  <c r="I154" i="24"/>
  <c r="I153" i="24"/>
  <c r="I151" i="24"/>
  <c r="I149" i="24"/>
  <c r="I148" i="24"/>
  <c r="I146" i="24"/>
  <c r="I144" i="24"/>
  <c r="I143" i="24"/>
  <c r="I139" i="24"/>
  <c r="I138" i="24"/>
  <c r="H96" i="26" s="1"/>
  <c r="I136" i="24"/>
  <c r="H135" i="24"/>
  <c r="H141" i="24" s="1"/>
  <c r="G135" i="24"/>
  <c r="G141" i="24" s="1"/>
  <c r="F135" i="24"/>
  <c r="F141" i="24" s="1"/>
  <c r="E135" i="24"/>
  <c r="E141" i="24" s="1"/>
  <c r="D135" i="24"/>
  <c r="D141" i="24" s="1"/>
  <c r="H134" i="24"/>
  <c r="G134" i="24"/>
  <c r="F134" i="24"/>
  <c r="E134" i="24"/>
  <c r="D134" i="24"/>
  <c r="I133" i="24"/>
  <c r="I166" i="24" s="1"/>
  <c r="H133" i="24"/>
  <c r="H166" i="24" s="1"/>
  <c r="G133" i="24"/>
  <c r="G166" i="24" s="1"/>
  <c r="F133" i="24"/>
  <c r="F166" i="24" s="1"/>
  <c r="E133" i="24"/>
  <c r="E166" i="24" s="1"/>
  <c r="D133" i="24"/>
  <c r="D166" i="24" s="1"/>
  <c r="I131" i="24"/>
  <c r="I317" i="24" s="1"/>
  <c r="I130" i="24"/>
  <c r="I225" i="24" s="1"/>
  <c r="I119" i="24"/>
  <c r="I118" i="24"/>
  <c r="I135" i="24" s="1"/>
  <c r="I141" i="24" s="1"/>
  <c r="I117" i="24"/>
  <c r="I116" i="24"/>
  <c r="I134" i="24" s="1"/>
  <c r="H95" i="24"/>
  <c r="G95" i="24"/>
  <c r="F95" i="24"/>
  <c r="E95" i="24"/>
  <c r="H94" i="24"/>
  <c r="H173" i="24" s="1"/>
  <c r="G94" i="24"/>
  <c r="G173" i="24" s="1"/>
  <c r="F94" i="24"/>
  <c r="F173" i="24" s="1"/>
  <c r="E94" i="24"/>
  <c r="E173" i="24" s="1"/>
  <c r="H93" i="24"/>
  <c r="G93" i="24"/>
  <c r="F93" i="24"/>
  <c r="E93" i="24"/>
  <c r="D93" i="24"/>
  <c r="H92" i="24"/>
  <c r="H172" i="24" s="1"/>
  <c r="G92" i="24"/>
  <c r="G172" i="24" s="1"/>
  <c r="F92" i="24"/>
  <c r="F172" i="24" s="1"/>
  <c r="E92" i="24"/>
  <c r="E172" i="24" s="1"/>
  <c r="D92" i="24"/>
  <c r="D172" i="24" s="1"/>
  <c r="I91" i="24"/>
  <c r="I90" i="24"/>
  <c r="I89" i="24"/>
  <c r="I88" i="24"/>
  <c r="I87" i="24"/>
  <c r="I86" i="24"/>
  <c r="I85" i="24"/>
  <c r="I84" i="24"/>
  <c r="I83" i="24"/>
  <c r="I82" i="24"/>
  <c r="I81" i="24"/>
  <c r="I80" i="24"/>
  <c r="I79" i="24"/>
  <c r="I78" i="24"/>
  <c r="I77" i="24"/>
  <c r="I76" i="24"/>
  <c r="I75" i="24"/>
  <c r="I74" i="24"/>
  <c r="I73" i="24"/>
  <c r="I72" i="24"/>
  <c r="I71" i="24"/>
  <c r="I70" i="24"/>
  <c r="I69" i="24"/>
  <c r="I68" i="24"/>
  <c r="I67" i="24"/>
  <c r="I318" i="24" s="1"/>
  <c r="I362" i="24" s="1"/>
  <c r="I66" i="24"/>
  <c r="I226" i="24" s="1"/>
  <c r="I270" i="24" s="1"/>
  <c r="I65" i="24"/>
  <c r="I64" i="24"/>
  <c r="I63" i="24"/>
  <c r="I316" i="24" s="1"/>
  <c r="I62" i="24"/>
  <c r="I224" i="24" s="1"/>
  <c r="I61" i="24"/>
  <c r="I60" i="24"/>
  <c r="I57" i="24"/>
  <c r="I56" i="24"/>
  <c r="I53" i="24"/>
  <c r="I52" i="24"/>
  <c r="I49" i="24"/>
  <c r="I48" i="24"/>
  <c r="I45" i="24"/>
  <c r="I44" i="24"/>
  <c r="I39" i="24"/>
  <c r="I38" i="24"/>
  <c r="F37" i="24"/>
  <c r="F316" i="24" s="1"/>
  <c r="F36" i="24"/>
  <c r="F224" i="24" s="1"/>
  <c r="I35" i="24"/>
  <c r="I34" i="24"/>
  <c r="I29" i="24"/>
  <c r="I28" i="24"/>
  <c r="E27" i="24"/>
  <c r="E316" i="24" s="1"/>
  <c r="E26" i="24"/>
  <c r="E224" i="24" s="1"/>
  <c r="I25" i="24"/>
  <c r="I24" i="24"/>
  <c r="I21" i="24"/>
  <c r="I95" i="24" s="1"/>
  <c r="I20" i="24"/>
  <c r="I94" i="24" s="1"/>
  <c r="I173" i="24" s="1"/>
  <c r="I17" i="24"/>
  <c r="I93" i="24" s="1"/>
  <c r="I16" i="24"/>
  <c r="I92" i="24" s="1"/>
  <c r="I172" i="24" s="1"/>
  <c r="AF34" i="23"/>
  <c r="V34" i="23"/>
  <c r="L34" i="23"/>
  <c r="B34" i="23"/>
  <c r="AO13" i="23"/>
  <c r="AF13" i="23"/>
  <c r="AF26" i="23" s="1"/>
  <c r="V13" i="23"/>
  <c r="V26" i="23" s="1"/>
  <c r="L13" i="23"/>
  <c r="L26" i="23" s="1"/>
  <c r="B13" i="23"/>
  <c r="B26" i="23" s="1"/>
  <c r="AF12" i="23"/>
  <c r="V12" i="23"/>
  <c r="L12" i="23"/>
  <c r="B12" i="23"/>
  <c r="V14" i="22"/>
  <c r="L14" i="22"/>
  <c r="L29" i="22" s="1"/>
  <c r="B14" i="22"/>
  <c r="B29" i="22" s="1"/>
  <c r="L13" i="22"/>
  <c r="B13" i="22"/>
  <c r="V14" i="21"/>
  <c r="L14" i="21"/>
  <c r="L29" i="21" s="1"/>
  <c r="B14" i="21"/>
  <c r="B29" i="21" s="1"/>
  <c r="L13" i="21"/>
  <c r="B13" i="21"/>
  <c r="V14" i="20"/>
  <c r="L14" i="20"/>
  <c r="L26" i="20" s="1"/>
  <c r="B14" i="20"/>
  <c r="B26" i="20" s="1"/>
  <c r="L13" i="20"/>
  <c r="B13" i="20"/>
  <c r="V14" i="19"/>
  <c r="L14" i="19"/>
  <c r="L28" i="19" s="1"/>
  <c r="B14" i="19"/>
  <c r="B28" i="19" s="1"/>
  <c r="L13" i="19"/>
  <c r="B13" i="19"/>
  <c r="O18" i="18"/>
  <c r="O19" i="18" s="1"/>
  <c r="N18" i="18"/>
  <c r="N19" i="18" s="1"/>
  <c r="N20" i="18" s="1"/>
  <c r="L18" i="18"/>
  <c r="L19" i="18" s="1"/>
  <c r="K18" i="18"/>
  <c r="K19" i="18" s="1"/>
  <c r="K20" i="18" s="1"/>
  <c r="P17" i="18"/>
  <c r="M17" i="18"/>
  <c r="D17" i="18"/>
  <c r="C17" i="18"/>
  <c r="P16" i="18"/>
  <c r="M16" i="18"/>
  <c r="D16" i="18"/>
  <c r="C16" i="18"/>
  <c r="P15" i="18"/>
  <c r="M15" i="18"/>
  <c r="D15" i="18"/>
  <c r="C15" i="18"/>
  <c r="P14" i="18"/>
  <c r="M14" i="18"/>
  <c r="D14" i="18"/>
  <c r="C14" i="18"/>
  <c r="P13" i="18"/>
  <c r="M13" i="18"/>
  <c r="D13" i="18"/>
  <c r="C13" i="18"/>
  <c r="P12" i="18"/>
  <c r="M12" i="18"/>
  <c r="D12" i="18"/>
  <c r="C12" i="18"/>
  <c r="P11" i="18"/>
  <c r="M11" i="18"/>
  <c r="D11" i="18"/>
  <c r="C11" i="18"/>
  <c r="P10" i="18"/>
  <c r="M10" i="18"/>
  <c r="D10" i="18"/>
  <c r="C10" i="18"/>
  <c r="P9" i="18"/>
  <c r="M9" i="18"/>
  <c r="D9" i="18"/>
  <c r="C9" i="18"/>
  <c r="P8" i="18"/>
  <c r="M8" i="18"/>
  <c r="D8" i="18"/>
  <c r="C8" i="18"/>
  <c r="P7" i="18"/>
  <c r="M7" i="18"/>
  <c r="D7" i="18"/>
  <c r="C7" i="18"/>
  <c r="P6" i="18"/>
  <c r="P18" i="18" s="1"/>
  <c r="P19" i="18" s="1"/>
  <c r="M6" i="18"/>
  <c r="M18" i="18" s="1"/>
  <c r="M19" i="18" s="1"/>
  <c r="D6" i="18"/>
  <c r="D18" i="18" s="1"/>
  <c r="D19" i="18" s="1"/>
  <c r="C6" i="18"/>
  <c r="C18" i="18" s="1"/>
  <c r="C19" i="18" s="1"/>
  <c r="AD34" i="17"/>
  <c r="AC34" i="17"/>
  <c r="AB34" i="17"/>
  <c r="AD16" i="17"/>
  <c r="AC16" i="17"/>
  <c r="AB16" i="17"/>
  <c r="M16" i="17"/>
  <c r="B16" i="17"/>
  <c r="M15" i="17"/>
  <c r="B15" i="17"/>
  <c r="M13" i="17"/>
  <c r="B13" i="17"/>
  <c r="D61" i="17" s="1"/>
  <c r="B65" i="17" s="1"/>
  <c r="E65" i="17" s="1"/>
  <c r="L36" i="16"/>
  <c r="M14" i="17" s="1"/>
  <c r="K36" i="16"/>
  <c r="B14" i="17" s="1"/>
  <c r="J36" i="16"/>
  <c r="J37" i="16" s="1"/>
  <c r="I36" i="16"/>
  <c r="I37" i="16" s="1"/>
  <c r="H36" i="16"/>
  <c r="H37" i="16" s="1"/>
  <c r="E36" i="16"/>
  <c r="E37" i="16" s="1"/>
  <c r="D36" i="16"/>
  <c r="D37" i="16" s="1"/>
  <c r="C36" i="16"/>
  <c r="C37" i="16" s="1"/>
  <c r="B36" i="16"/>
  <c r="B37" i="16" s="1"/>
  <c r="K20" i="16"/>
  <c r="J20" i="16"/>
  <c r="G20" i="16"/>
  <c r="F20" i="16"/>
  <c r="AF18" i="16"/>
  <c r="AE18" i="16"/>
  <c r="AD18" i="16"/>
  <c r="AC18" i="16"/>
  <c r="AB18" i="16"/>
  <c r="AA18" i="16"/>
  <c r="Z18" i="16"/>
  <c r="Y18" i="16"/>
  <c r="X18" i="16"/>
  <c r="W18" i="16"/>
  <c r="V18" i="16"/>
  <c r="U18" i="16"/>
  <c r="O18" i="16"/>
  <c r="O19" i="16" s="1"/>
  <c r="N18" i="16"/>
  <c r="N19" i="16" s="1"/>
  <c r="K18" i="16"/>
  <c r="K19" i="16" s="1"/>
  <c r="J18" i="16"/>
  <c r="J19" i="16" s="1"/>
  <c r="G18" i="16"/>
  <c r="G19" i="16" s="1"/>
  <c r="F18" i="16"/>
  <c r="F19" i="16" s="1"/>
  <c r="C18" i="16"/>
  <c r="C19" i="16" s="1"/>
  <c r="B18" i="16"/>
  <c r="B19" i="16" s="1"/>
  <c r="H74" i="15"/>
  <c r="R68" i="15"/>
  <c r="H68" i="15"/>
  <c r="H56" i="15"/>
  <c r="R50" i="15"/>
  <c r="H50" i="15"/>
  <c r="R44" i="15"/>
  <c r="H44" i="15"/>
  <c r="R38" i="15"/>
  <c r="H38" i="15"/>
  <c r="R32" i="15"/>
  <c r="H32" i="15"/>
  <c r="R26" i="15"/>
  <c r="H26" i="15"/>
  <c r="R20" i="15"/>
  <c r="H20" i="15"/>
  <c r="B13" i="15"/>
  <c r="R74" i="15" s="1"/>
  <c r="C11" i="15"/>
  <c r="H62" i="15" s="1"/>
  <c r="B10" i="15"/>
  <c r="V14" i="14"/>
  <c r="K78" i="14" s="1"/>
  <c r="V13" i="14"/>
  <c r="B78" i="14" s="1"/>
  <c r="J13" i="14"/>
  <c r="J28" i="14" s="1"/>
  <c r="B13" i="14"/>
  <c r="J12" i="14"/>
  <c r="B12" i="14"/>
  <c r="H54" i="13"/>
  <c r="H55" i="13" s="1"/>
  <c r="G54" i="13"/>
  <c r="G55" i="13" s="1"/>
  <c r="F54" i="13"/>
  <c r="F55" i="13" s="1"/>
  <c r="D54" i="13"/>
  <c r="D55" i="13" s="1"/>
  <c r="C54" i="13"/>
  <c r="C55" i="13" s="1"/>
  <c r="B54" i="13"/>
  <c r="B55" i="13" s="1"/>
  <c r="I53" i="13"/>
  <c r="E53" i="13"/>
  <c r="I52" i="13"/>
  <c r="E52" i="13"/>
  <c r="I51" i="13"/>
  <c r="E51" i="13"/>
  <c r="I50" i="13"/>
  <c r="E50" i="13"/>
  <c r="I49" i="13"/>
  <c r="E49" i="13"/>
  <c r="I48" i="13"/>
  <c r="E48" i="13"/>
  <c r="I47" i="13"/>
  <c r="B17" i="15" s="1"/>
  <c r="E47" i="13"/>
  <c r="B16" i="15" s="1"/>
  <c r="I46" i="13"/>
  <c r="E46" i="13"/>
  <c r="I45" i="13"/>
  <c r="E45" i="13"/>
  <c r="I44" i="13"/>
  <c r="E44" i="13"/>
  <c r="I43" i="13"/>
  <c r="E43" i="13"/>
  <c r="I42" i="13"/>
  <c r="I54" i="13" s="1"/>
  <c r="I55" i="13" s="1"/>
  <c r="E42" i="13"/>
  <c r="E54" i="13" s="1"/>
  <c r="E55" i="13" s="1"/>
  <c r="L37" i="13"/>
  <c r="K37" i="13"/>
  <c r="E37" i="13"/>
  <c r="D37" i="13"/>
  <c r="C37" i="13"/>
  <c r="B37" i="13"/>
  <c r="N35" i="13"/>
  <c r="M35" i="13"/>
  <c r="L35" i="13"/>
  <c r="L36" i="13" s="1"/>
  <c r="K35" i="13"/>
  <c r="K36" i="13" s="1"/>
  <c r="I35" i="13"/>
  <c r="H35" i="13"/>
  <c r="G35" i="13"/>
  <c r="F35" i="13"/>
  <c r="E35" i="13"/>
  <c r="E36" i="13" s="1"/>
  <c r="D35" i="13"/>
  <c r="D36" i="13" s="1"/>
  <c r="C35" i="13"/>
  <c r="C36" i="13" s="1"/>
  <c r="B35" i="13"/>
  <c r="B36" i="13" s="1"/>
  <c r="H38" i="13" s="1"/>
  <c r="J34" i="13"/>
  <c r="A34" i="13"/>
  <c r="A53" i="13" s="1"/>
  <c r="J33" i="13"/>
  <c r="A33" i="13"/>
  <c r="A52" i="13" s="1"/>
  <c r="J32" i="13"/>
  <c r="A32" i="13"/>
  <c r="A51" i="13" s="1"/>
  <c r="J31" i="13"/>
  <c r="A31" i="13"/>
  <c r="A50" i="13" s="1"/>
  <c r="J30" i="13"/>
  <c r="A30" i="13"/>
  <c r="A49" i="13" s="1"/>
  <c r="J29" i="13"/>
  <c r="A29" i="13"/>
  <c r="A48" i="13" s="1"/>
  <c r="J28" i="13"/>
  <c r="A28" i="13"/>
  <c r="A47" i="13" s="1"/>
  <c r="J27" i="13"/>
  <c r="A27" i="13"/>
  <c r="A46" i="13" s="1"/>
  <c r="J26" i="13"/>
  <c r="A26" i="13"/>
  <c r="A45" i="13" s="1"/>
  <c r="J25" i="13"/>
  <c r="A25" i="13"/>
  <c r="A44" i="13" s="1"/>
  <c r="J24" i="13"/>
  <c r="A24" i="13"/>
  <c r="A43" i="13" s="1"/>
  <c r="J23" i="13"/>
  <c r="A23" i="13"/>
  <c r="A42" i="13" s="1"/>
  <c r="I18" i="13"/>
  <c r="H18" i="13"/>
  <c r="G18" i="13"/>
  <c r="F18" i="13"/>
  <c r="I17" i="13"/>
  <c r="H17" i="13"/>
  <c r="G17" i="13"/>
  <c r="F17" i="13"/>
  <c r="E17" i="13"/>
  <c r="E18" i="13" s="1"/>
  <c r="D17" i="13"/>
  <c r="D18" i="13" s="1"/>
  <c r="C17" i="13"/>
  <c r="C18" i="13" s="1"/>
  <c r="B17" i="13"/>
  <c r="B18" i="13" s="1"/>
  <c r="V13" i="12"/>
  <c r="K78" i="12" s="1"/>
  <c r="K13" i="12"/>
  <c r="K28" i="12" s="1"/>
  <c r="B13" i="12"/>
  <c r="V12" i="12"/>
  <c r="B78" i="12" s="1"/>
  <c r="K12" i="12"/>
  <c r="E53" i="11"/>
  <c r="D53" i="11"/>
  <c r="K55" i="11" s="1"/>
  <c r="C53" i="11"/>
  <c r="B53" i="11"/>
  <c r="B55" i="11" s="1"/>
  <c r="J36" i="11"/>
  <c r="I36" i="11"/>
  <c r="H36" i="11"/>
  <c r="F36" i="11"/>
  <c r="E36" i="11"/>
  <c r="D36" i="11"/>
  <c r="C36" i="11"/>
  <c r="B36" i="11"/>
  <c r="R35" i="11"/>
  <c r="Q35" i="11"/>
  <c r="O35" i="11"/>
  <c r="N35" i="11"/>
  <c r="M35" i="11"/>
  <c r="L35" i="11"/>
  <c r="K35" i="11"/>
  <c r="J55" i="11" s="1"/>
  <c r="K56" i="11" s="1"/>
  <c r="J35" i="11"/>
  <c r="I35" i="11"/>
  <c r="H35" i="11"/>
  <c r="F35" i="11"/>
  <c r="E35" i="11"/>
  <c r="D35" i="11"/>
  <c r="C35" i="11"/>
  <c r="B35" i="11"/>
  <c r="H37" i="11" s="1"/>
  <c r="H55" i="11" s="1"/>
  <c r="A34" i="11"/>
  <c r="A33" i="11"/>
  <c r="A32" i="11"/>
  <c r="A31" i="11"/>
  <c r="A30" i="11"/>
  <c r="A29" i="11"/>
  <c r="A28" i="11"/>
  <c r="A27" i="11"/>
  <c r="A26" i="11"/>
  <c r="A25" i="11"/>
  <c r="A24" i="11"/>
  <c r="A23" i="11"/>
  <c r="G23" i="11" s="1"/>
  <c r="I17" i="11"/>
  <c r="H17" i="11"/>
  <c r="C17" i="11"/>
  <c r="B17" i="11"/>
  <c r="E16" i="11"/>
  <c r="D16" i="11"/>
  <c r="F16" i="11" s="1"/>
  <c r="E15" i="11"/>
  <c r="D15" i="11"/>
  <c r="F15" i="11" s="1"/>
  <c r="E14" i="11"/>
  <c r="D14" i="11"/>
  <c r="F14" i="11" s="1"/>
  <c r="E13" i="11"/>
  <c r="D13" i="11"/>
  <c r="F13" i="11" s="1"/>
  <c r="E12" i="11"/>
  <c r="D12" i="11"/>
  <c r="F12" i="11" s="1"/>
  <c r="E11" i="11"/>
  <c r="D11" i="11"/>
  <c r="F11" i="11" s="1"/>
  <c r="E10" i="11"/>
  <c r="E17" i="11" s="1"/>
  <c r="D10" i="11"/>
  <c r="R68" i="10"/>
  <c r="H68" i="10"/>
  <c r="R62" i="10"/>
  <c r="H62" i="10"/>
  <c r="R56" i="10"/>
  <c r="R50" i="10"/>
  <c r="H50" i="10"/>
  <c r="R44" i="10"/>
  <c r="H44" i="10"/>
  <c r="R38" i="10"/>
  <c r="H38" i="10"/>
  <c r="R32" i="10"/>
  <c r="H32" i="10"/>
  <c r="R26" i="10"/>
  <c r="H26" i="10"/>
  <c r="R20" i="10"/>
  <c r="H20" i="10"/>
  <c r="B18" i="10"/>
  <c r="H56" i="10" s="1"/>
  <c r="B17" i="10"/>
  <c r="W12" i="10"/>
  <c r="O74" i="10" s="1"/>
  <c r="W11" i="10"/>
  <c r="E74" i="10" s="1"/>
  <c r="R68" i="9"/>
  <c r="H68" i="9"/>
  <c r="R62" i="9"/>
  <c r="H62" i="9"/>
  <c r="R56" i="9"/>
  <c r="R50" i="9"/>
  <c r="H50" i="9"/>
  <c r="R44" i="9"/>
  <c r="H44" i="9"/>
  <c r="R38" i="9"/>
  <c r="H38" i="9"/>
  <c r="R32" i="9"/>
  <c r="H32" i="9"/>
  <c r="R26" i="9"/>
  <c r="H26" i="9"/>
  <c r="R20" i="9"/>
  <c r="H20" i="9"/>
  <c r="B18" i="9"/>
  <c r="H56" i="9" s="1"/>
  <c r="B17" i="9"/>
  <c r="W12" i="9"/>
  <c r="O74" i="9" s="1"/>
  <c r="W11" i="9"/>
  <c r="E74" i="9" s="1"/>
  <c r="B98" i="8"/>
  <c r="B18" i="8"/>
  <c r="B48" i="8" s="1"/>
  <c r="Q35" i="7"/>
  <c r="P35" i="7"/>
  <c r="O35" i="7"/>
  <c r="N35" i="7"/>
  <c r="I35" i="7"/>
  <c r="H35" i="7"/>
  <c r="G35" i="7"/>
  <c r="F35" i="7"/>
  <c r="C35" i="7"/>
  <c r="B35" i="7"/>
  <c r="M34" i="7"/>
  <c r="E34" i="7"/>
  <c r="D34" i="7"/>
  <c r="A34" i="7"/>
  <c r="M33" i="7"/>
  <c r="E33" i="7"/>
  <c r="D33" i="7"/>
  <c r="A33" i="7"/>
  <c r="M32" i="7"/>
  <c r="E32" i="7"/>
  <c r="D32" i="7"/>
  <c r="A32" i="7"/>
  <c r="M31" i="7"/>
  <c r="E31" i="7"/>
  <c r="D31" i="7"/>
  <c r="A31" i="7"/>
  <c r="M30" i="7"/>
  <c r="E30" i="7"/>
  <c r="D30" i="7"/>
  <c r="A30" i="7"/>
  <c r="M29" i="7"/>
  <c r="E29" i="7"/>
  <c r="D29" i="7"/>
  <c r="A29" i="7"/>
  <c r="M28" i="7"/>
  <c r="E28" i="7"/>
  <c r="D28" i="7"/>
  <c r="A28" i="7"/>
  <c r="M27" i="7"/>
  <c r="A27" i="7"/>
  <c r="M26" i="7"/>
  <c r="A26" i="7"/>
  <c r="M25" i="7"/>
  <c r="A25" i="7"/>
  <c r="M24" i="7"/>
  <c r="A24" i="7"/>
  <c r="M23" i="7"/>
  <c r="A23" i="7"/>
  <c r="M17" i="7"/>
  <c r="L17" i="7"/>
  <c r="K17" i="7"/>
  <c r="J17" i="7"/>
  <c r="I17" i="7"/>
  <c r="G17" i="7"/>
  <c r="E17" i="7"/>
  <c r="D17" i="7"/>
  <c r="C17" i="7"/>
  <c r="B17" i="7"/>
  <c r="H16" i="7"/>
  <c r="F16" i="7"/>
  <c r="H15" i="7"/>
  <c r="F15" i="7"/>
  <c r="H14" i="7"/>
  <c r="F14" i="7"/>
  <c r="H13" i="7"/>
  <c r="F13" i="7"/>
  <c r="H12" i="7"/>
  <c r="F12" i="7"/>
  <c r="H11" i="7"/>
  <c r="F11" i="7"/>
  <c r="H10" i="7"/>
  <c r="F10" i="7"/>
  <c r="R68" i="6"/>
  <c r="H68" i="6"/>
  <c r="R62" i="6"/>
  <c r="H62" i="6"/>
  <c r="R56" i="6"/>
  <c r="R50" i="6"/>
  <c r="H50" i="6"/>
  <c r="R44" i="6"/>
  <c r="H44" i="6"/>
  <c r="R38" i="6"/>
  <c r="H38" i="6"/>
  <c r="R32" i="6"/>
  <c r="H32" i="6"/>
  <c r="R26" i="6"/>
  <c r="H26" i="6"/>
  <c r="R20" i="6"/>
  <c r="H20" i="6"/>
  <c r="B18" i="6"/>
  <c r="H56" i="6" s="1"/>
  <c r="B17" i="6"/>
  <c r="B16" i="6"/>
  <c r="W12" i="6"/>
  <c r="O74" i="6" s="1"/>
  <c r="W11" i="6"/>
  <c r="E74" i="6" s="1"/>
  <c r="R68" i="5"/>
  <c r="H68" i="5"/>
  <c r="R62" i="5"/>
  <c r="H62" i="5"/>
  <c r="R56" i="5"/>
  <c r="R50" i="5"/>
  <c r="H50" i="5"/>
  <c r="R44" i="5"/>
  <c r="H44" i="5"/>
  <c r="R38" i="5"/>
  <c r="H38" i="5"/>
  <c r="R32" i="5"/>
  <c r="H32" i="5"/>
  <c r="R26" i="5"/>
  <c r="H26" i="5"/>
  <c r="R20" i="5"/>
  <c r="H20" i="5"/>
  <c r="B18" i="5"/>
  <c r="H56" i="5" s="1"/>
  <c r="B17" i="5"/>
  <c r="B16" i="5"/>
  <c r="W12" i="5"/>
  <c r="O74" i="5" s="1"/>
  <c r="W11" i="5"/>
  <c r="E74" i="5" s="1"/>
  <c r="C14" i="3"/>
  <c r="C28" i="3" s="1"/>
  <c r="C13" i="3"/>
  <c r="E19" i="3" s="1"/>
  <c r="R12" i="3"/>
  <c r="C73" i="3" s="1"/>
  <c r="E54" i="2"/>
  <c r="D54" i="2"/>
  <c r="C54" i="2"/>
  <c r="B54" i="2"/>
  <c r="A53" i="2"/>
  <c r="A52" i="2"/>
  <c r="A51" i="2"/>
  <c r="A50" i="2"/>
  <c r="A49" i="2"/>
  <c r="A48" i="2"/>
  <c r="A47" i="2"/>
  <c r="A46" i="2"/>
  <c r="A45" i="2"/>
  <c r="A44" i="2"/>
  <c r="A43" i="2"/>
  <c r="A42" i="2"/>
  <c r="C36" i="2"/>
  <c r="B36" i="2"/>
  <c r="A35" i="2"/>
  <c r="A34" i="2"/>
  <c r="A33" i="2"/>
  <c r="A32" i="2"/>
  <c r="A31" i="2"/>
  <c r="A30" i="2"/>
  <c r="A29" i="2"/>
  <c r="A28" i="2"/>
  <c r="A27" i="2"/>
  <c r="A26" i="2"/>
  <c r="A25" i="2"/>
  <c r="A24" i="2"/>
  <c r="G17" i="2"/>
  <c r="F17" i="2"/>
  <c r="B13" i="4" s="1"/>
  <c r="C17" i="2"/>
  <c r="B17" i="2"/>
  <c r="B12" i="4" s="1"/>
  <c r="E16" i="2"/>
  <c r="D16" i="2"/>
  <c r="E15" i="2"/>
  <c r="D15" i="2"/>
  <c r="E14" i="2"/>
  <c r="D14" i="2"/>
  <c r="E13" i="2"/>
  <c r="D13" i="2"/>
  <c r="E12" i="2"/>
  <c r="D12" i="2"/>
  <c r="E11" i="2"/>
  <c r="E17" i="2" s="1"/>
  <c r="D11" i="2"/>
  <c r="D17" i="2" s="1"/>
  <c r="I141" i="1"/>
  <c r="I140" i="1"/>
  <c r="I139" i="1"/>
  <c r="I138" i="1"/>
  <c r="I137" i="1"/>
  <c r="I136" i="1"/>
  <c r="I135" i="1"/>
  <c r="I143" i="1" s="1"/>
  <c r="H128" i="1"/>
  <c r="H125" i="1"/>
  <c r="I121" i="1"/>
  <c r="I111" i="1"/>
  <c r="I101" i="1"/>
  <c r="I91" i="1"/>
  <c r="I81" i="1"/>
  <c r="I71" i="1"/>
  <c r="G68" i="1"/>
  <c r="F68" i="1"/>
  <c r="E68" i="1"/>
  <c r="D68" i="1"/>
  <c r="C68" i="1"/>
  <c r="B68" i="1"/>
  <c r="H68" i="1" s="1"/>
  <c r="G66" i="1"/>
  <c r="F66" i="1"/>
  <c r="E66" i="1"/>
  <c r="D66" i="1"/>
  <c r="C66" i="1"/>
  <c r="B66" i="1"/>
  <c r="H66" i="1" s="1"/>
  <c r="I61" i="1"/>
  <c r="I46" i="1"/>
  <c r="G46" i="1"/>
  <c r="F46" i="1"/>
  <c r="E46" i="1"/>
  <c r="D46" i="1"/>
  <c r="C46" i="1"/>
  <c r="B46" i="1"/>
  <c r="H45" i="1"/>
  <c r="H44" i="1"/>
  <c r="H43" i="1"/>
  <c r="H42" i="1"/>
  <c r="H41" i="1"/>
  <c r="H46" i="1" s="1"/>
  <c r="I40" i="1"/>
  <c r="I29" i="1"/>
  <c r="G29" i="1"/>
  <c r="F29" i="1"/>
  <c r="E29" i="1"/>
  <c r="D29" i="1"/>
  <c r="C29" i="1"/>
  <c r="B29" i="1"/>
  <c r="H28" i="1"/>
  <c r="H27" i="1"/>
  <c r="H26" i="1"/>
  <c r="H25" i="1"/>
  <c r="H24" i="1"/>
  <c r="H23" i="1"/>
  <c r="H29" i="1" s="1"/>
  <c r="I22" i="1"/>
  <c r="I30" i="1" s="1"/>
  <c r="I12" i="1"/>
  <c r="I47" i="1" l="1"/>
  <c r="I124" i="1" s="1"/>
  <c r="D71" i="4"/>
  <c r="B75" i="4" s="1"/>
  <c r="E75" i="4" s="1"/>
  <c r="D62" i="4"/>
  <c r="B66" i="4" s="1"/>
  <c r="E66" i="4" s="1"/>
  <c r="D51" i="4"/>
  <c r="B55" i="4" s="1"/>
  <c r="E55" i="4" s="1"/>
  <c r="D36" i="4"/>
  <c r="B40" i="4" s="1"/>
  <c r="E40" i="4" s="1"/>
  <c r="D27" i="4"/>
  <c r="D18" i="4"/>
  <c r="B27" i="4"/>
  <c r="B31" i="4" s="1"/>
  <c r="E31" i="4" s="1"/>
  <c r="B18" i="4"/>
  <c r="B22" i="4" s="1"/>
  <c r="E22" i="4" s="1"/>
  <c r="E73" i="3"/>
  <c r="C77" i="3" s="1"/>
  <c r="F77" i="3" s="1"/>
  <c r="E64" i="3"/>
  <c r="C68" i="3" s="1"/>
  <c r="F68" i="3" s="1"/>
  <c r="E55" i="3"/>
  <c r="C59" i="3" s="1"/>
  <c r="F59" i="3" s="1"/>
  <c r="E46" i="3"/>
  <c r="C50" i="3" s="1"/>
  <c r="F50" i="3" s="1"/>
  <c r="E37" i="3"/>
  <c r="C41" i="3" s="1"/>
  <c r="F41" i="3" s="1"/>
  <c r="E28" i="3"/>
  <c r="C23" i="3"/>
  <c r="F23" i="3" s="1"/>
  <c r="C32" i="3"/>
  <c r="F32" i="3" s="1"/>
  <c r="B74" i="5"/>
  <c r="B68" i="5"/>
  <c r="B62" i="5"/>
  <c r="B56" i="5"/>
  <c r="B50" i="5"/>
  <c r="B44" i="5"/>
  <c r="B38" i="5"/>
  <c r="B32" i="5"/>
  <c r="B26" i="5"/>
  <c r="B20" i="5"/>
  <c r="M74" i="5"/>
  <c r="M68" i="5"/>
  <c r="M62" i="5"/>
  <c r="M56" i="5"/>
  <c r="M50" i="5"/>
  <c r="M44" i="5"/>
  <c r="M38" i="5"/>
  <c r="M32" i="5"/>
  <c r="M26" i="5"/>
  <c r="M20" i="5"/>
  <c r="B74" i="6"/>
  <c r="B68" i="6"/>
  <c r="B62" i="6"/>
  <c r="B56" i="6"/>
  <c r="B50" i="6"/>
  <c r="B44" i="6"/>
  <c r="B38" i="6"/>
  <c r="B32" i="6"/>
  <c r="B26" i="6"/>
  <c r="B20" i="6"/>
  <c r="M74" i="6"/>
  <c r="M68" i="6"/>
  <c r="M62" i="6"/>
  <c r="M56" i="6"/>
  <c r="M50" i="6"/>
  <c r="M44" i="6"/>
  <c r="M38" i="6"/>
  <c r="M32" i="6"/>
  <c r="M26" i="6"/>
  <c r="M20" i="6"/>
  <c r="B16" i="8"/>
  <c r="F17" i="7"/>
  <c r="B17" i="8"/>
  <c r="D65" i="8" s="1"/>
  <c r="B68" i="8" s="1"/>
  <c r="H17" i="7"/>
  <c r="B16" i="9"/>
  <c r="D35" i="7"/>
  <c r="B16" i="10"/>
  <c r="E35" i="7"/>
  <c r="M74" i="9"/>
  <c r="M68" i="9"/>
  <c r="M62" i="9"/>
  <c r="M56" i="9"/>
  <c r="M50" i="9"/>
  <c r="M44" i="9"/>
  <c r="M38" i="9"/>
  <c r="M32" i="9"/>
  <c r="M26" i="9"/>
  <c r="M20" i="9"/>
  <c r="M74" i="10"/>
  <c r="M68" i="10"/>
  <c r="M62" i="10"/>
  <c r="M56" i="10"/>
  <c r="M50" i="10"/>
  <c r="M44" i="10"/>
  <c r="M38" i="10"/>
  <c r="M32" i="10"/>
  <c r="M26" i="10"/>
  <c r="M20" i="10"/>
  <c r="D17" i="11"/>
  <c r="F17" i="11" s="1"/>
  <c r="F10" i="11"/>
  <c r="A42" i="11"/>
  <c r="G24" i="11"/>
  <c r="A43" i="11"/>
  <c r="G25" i="11"/>
  <c r="A44" i="11"/>
  <c r="G26" i="11"/>
  <c r="A45" i="11"/>
  <c r="G27" i="11"/>
  <c r="A46" i="11"/>
  <c r="G28" i="11"/>
  <c r="A47" i="11"/>
  <c r="G29" i="11"/>
  <c r="A48" i="11"/>
  <c r="G30" i="11"/>
  <c r="A49" i="11"/>
  <c r="G31" i="11"/>
  <c r="A50" i="11"/>
  <c r="G32" i="11"/>
  <c r="A51" i="11"/>
  <c r="G33" i="11"/>
  <c r="A52" i="11"/>
  <c r="G34" i="11"/>
  <c r="M78" i="12"/>
  <c r="M68" i="12"/>
  <c r="K72" i="12" s="1"/>
  <c r="M58" i="12"/>
  <c r="K62" i="12" s="1"/>
  <c r="M48" i="12"/>
  <c r="K52" i="12" s="1"/>
  <c r="M38" i="12"/>
  <c r="K42" i="12" s="1"/>
  <c r="M28" i="12"/>
  <c r="M18" i="12"/>
  <c r="K22" i="12" s="1"/>
  <c r="B28" i="12"/>
  <c r="B18" i="12"/>
  <c r="K32" i="12"/>
  <c r="K82" i="12"/>
  <c r="D59" i="13"/>
  <c r="E57" i="13"/>
  <c r="K56" i="13"/>
  <c r="K39" i="13"/>
  <c r="B74" i="15"/>
  <c r="B68" i="15"/>
  <c r="B62" i="15"/>
  <c r="B56" i="15"/>
  <c r="B50" i="15"/>
  <c r="B44" i="15"/>
  <c r="B38" i="15"/>
  <c r="B32" i="15"/>
  <c r="B26" i="15"/>
  <c r="B20" i="15"/>
  <c r="M74" i="15"/>
  <c r="M68" i="15"/>
  <c r="M62" i="15"/>
  <c r="M56" i="15"/>
  <c r="M50" i="15"/>
  <c r="M44" i="15"/>
  <c r="M38" i="15"/>
  <c r="M32" i="15"/>
  <c r="M26" i="15"/>
  <c r="M20" i="15"/>
  <c r="D68" i="14"/>
  <c r="D58" i="14"/>
  <c r="B62" i="14" s="1"/>
  <c r="E62" i="14" s="1"/>
  <c r="D48" i="14"/>
  <c r="B52" i="14" s="1"/>
  <c r="E52" i="14" s="1"/>
  <c r="D38" i="14"/>
  <c r="B42" i="14" s="1"/>
  <c r="D28" i="14"/>
  <c r="D18" i="14"/>
  <c r="L68" i="14"/>
  <c r="L58" i="14"/>
  <c r="J62" i="14" s="1"/>
  <c r="M62" i="14" s="1"/>
  <c r="L48" i="14"/>
  <c r="J52" i="14" s="1"/>
  <c r="M52" i="14" s="1"/>
  <c r="L38" i="14"/>
  <c r="J42" i="14" s="1"/>
  <c r="M42" i="14" s="1"/>
  <c r="L28" i="14"/>
  <c r="L18" i="14"/>
  <c r="J22" i="14" s="1"/>
  <c r="M22" i="14" s="1"/>
  <c r="B28" i="14"/>
  <c r="B32" i="14" s="1"/>
  <c r="E32" i="14" s="1"/>
  <c r="B18" i="14"/>
  <c r="B22" i="14" s="1"/>
  <c r="E22" i="14" s="1"/>
  <c r="J32" i="14"/>
  <c r="M32" i="14" s="1"/>
  <c r="R56" i="15"/>
  <c r="B11" i="15"/>
  <c r="R62" i="15" s="1"/>
  <c r="D50" i="17"/>
  <c r="D42" i="17"/>
  <c r="D29" i="17"/>
  <c r="D21" i="17"/>
  <c r="O50" i="17"/>
  <c r="O42" i="17"/>
  <c r="O29" i="17"/>
  <c r="O21" i="17"/>
  <c r="H50" i="17"/>
  <c r="H42" i="17"/>
  <c r="H29" i="17"/>
  <c r="H21" i="17"/>
  <c r="S50" i="17"/>
  <c r="S42" i="17"/>
  <c r="S29" i="17"/>
  <c r="S21" i="17"/>
  <c r="D68" i="19"/>
  <c r="D59" i="19"/>
  <c r="B62" i="19" s="1"/>
  <c r="D46" i="19"/>
  <c r="B49" i="19" s="1"/>
  <c r="D37" i="19"/>
  <c r="B40" i="19" s="1"/>
  <c r="D28" i="19"/>
  <c r="D19" i="19"/>
  <c r="B22" i="19" s="1"/>
  <c r="N68" i="19"/>
  <c r="N59" i="19"/>
  <c r="L62" i="19" s="1"/>
  <c r="N46" i="19"/>
  <c r="L49" i="19" s="1"/>
  <c r="N37" i="19"/>
  <c r="L40" i="19" s="1"/>
  <c r="N28" i="19"/>
  <c r="N19" i="19"/>
  <c r="L22" i="19" s="1"/>
  <c r="B31" i="19"/>
  <c r="L31" i="19"/>
  <c r="L77" i="19"/>
  <c r="B77" i="19"/>
  <c r="D59" i="20"/>
  <c r="D51" i="20"/>
  <c r="B54" i="20" s="1"/>
  <c r="E54" i="20" s="1"/>
  <c r="D43" i="20"/>
  <c r="B46" i="20" s="1"/>
  <c r="E46" i="20" s="1"/>
  <c r="D35" i="20"/>
  <c r="B38" i="20" s="1"/>
  <c r="E38" i="20" s="1"/>
  <c r="D26" i="20"/>
  <c r="D18" i="20"/>
  <c r="B21" i="20" s="1"/>
  <c r="E21" i="20" s="1"/>
  <c r="N59" i="20"/>
  <c r="N51" i="20"/>
  <c r="L54" i="20" s="1"/>
  <c r="O54" i="20" s="1"/>
  <c r="N43" i="20"/>
  <c r="L46" i="20" s="1"/>
  <c r="O46" i="20" s="1"/>
  <c r="N35" i="20"/>
  <c r="L38" i="20" s="1"/>
  <c r="O38" i="20" s="1"/>
  <c r="N26" i="20"/>
  <c r="N18" i="20"/>
  <c r="L21" i="20" s="1"/>
  <c r="O21" i="20" s="1"/>
  <c r="B29" i="20"/>
  <c r="E29" i="20" s="1"/>
  <c r="L29" i="20"/>
  <c r="O29" i="20" s="1"/>
  <c r="L68" i="20"/>
  <c r="B68" i="20"/>
  <c r="D69" i="21"/>
  <c r="D59" i="21"/>
  <c r="B63" i="21" s="1"/>
  <c r="F63" i="21" s="1"/>
  <c r="D49" i="21"/>
  <c r="B53" i="21" s="1"/>
  <c r="F53" i="21" s="1"/>
  <c r="D39" i="21"/>
  <c r="B43" i="21" s="1"/>
  <c r="F43" i="21" s="1"/>
  <c r="D29" i="21"/>
  <c r="D19" i="21"/>
  <c r="B23" i="21" s="1"/>
  <c r="F23" i="21" s="1"/>
  <c r="N69" i="21"/>
  <c r="N59" i="21"/>
  <c r="L63" i="21" s="1"/>
  <c r="P63" i="21" s="1"/>
  <c r="N49" i="21"/>
  <c r="L53" i="21" s="1"/>
  <c r="P53" i="21" s="1"/>
  <c r="N39" i="21"/>
  <c r="L43" i="21" s="1"/>
  <c r="P43" i="21" s="1"/>
  <c r="N29" i="21"/>
  <c r="N19" i="21"/>
  <c r="L23" i="21" s="1"/>
  <c r="P23" i="21" s="1"/>
  <c r="B33" i="21"/>
  <c r="F33" i="21" s="1"/>
  <c r="L33" i="21"/>
  <c r="P33" i="21" s="1"/>
  <c r="L79" i="21"/>
  <c r="B79" i="21"/>
  <c r="D69" i="22"/>
  <c r="D59" i="22"/>
  <c r="B63" i="22" s="1"/>
  <c r="E63" i="22" s="1"/>
  <c r="D49" i="22"/>
  <c r="B53" i="22" s="1"/>
  <c r="E53" i="22" s="1"/>
  <c r="D39" i="22"/>
  <c r="B43" i="22" s="1"/>
  <c r="E43" i="22" s="1"/>
  <c r="D29" i="22"/>
  <c r="D19" i="22"/>
  <c r="B23" i="22" s="1"/>
  <c r="E23" i="22" s="1"/>
  <c r="N69" i="22"/>
  <c r="N59" i="22"/>
  <c r="L63" i="22" s="1"/>
  <c r="O63" i="22" s="1"/>
  <c r="N49" i="22"/>
  <c r="L53" i="22" s="1"/>
  <c r="O53" i="22" s="1"/>
  <c r="N39" i="22"/>
  <c r="L43" i="22" s="1"/>
  <c r="O43" i="22" s="1"/>
  <c r="N29" i="22"/>
  <c r="N19" i="22"/>
  <c r="L23" i="22" s="1"/>
  <c r="O23" i="22" s="1"/>
  <c r="B33" i="22"/>
  <c r="E33" i="22" s="1"/>
  <c r="L33" i="22"/>
  <c r="O33" i="22" s="1"/>
  <c r="L79" i="22"/>
  <c r="B79" i="22"/>
  <c r="D63" i="23"/>
  <c r="D55" i="23"/>
  <c r="B58" i="23" s="1"/>
  <c r="F58" i="23" s="1"/>
  <c r="D42" i="23"/>
  <c r="B45" i="23" s="1"/>
  <c r="F45" i="23" s="1"/>
  <c r="D34" i="23"/>
  <c r="D26" i="23"/>
  <c r="D18" i="23"/>
  <c r="B21" i="23" s="1"/>
  <c r="F21" i="23" s="1"/>
  <c r="N63" i="23"/>
  <c r="N55" i="23"/>
  <c r="L58" i="23" s="1"/>
  <c r="P58" i="23" s="1"/>
  <c r="N42" i="23"/>
  <c r="L45" i="23" s="1"/>
  <c r="P45" i="23" s="1"/>
  <c r="N34" i="23"/>
  <c r="N26" i="23"/>
  <c r="N18" i="23"/>
  <c r="L21" i="23" s="1"/>
  <c r="P21" i="23" s="1"/>
  <c r="X63" i="23"/>
  <c r="X55" i="23"/>
  <c r="V58" i="23" s="1"/>
  <c r="Z58" i="23" s="1"/>
  <c r="X42" i="23"/>
  <c r="V45" i="23" s="1"/>
  <c r="Z45" i="23" s="1"/>
  <c r="X34" i="23"/>
  <c r="X26" i="23"/>
  <c r="X18" i="23"/>
  <c r="V21" i="23" s="1"/>
  <c r="Z21" i="23" s="1"/>
  <c r="AH63" i="23"/>
  <c r="AH55" i="23"/>
  <c r="AF58" i="23" s="1"/>
  <c r="AJ58" i="23" s="1"/>
  <c r="AH42" i="23"/>
  <c r="AF45" i="23" s="1"/>
  <c r="AJ45" i="23" s="1"/>
  <c r="AH34" i="23"/>
  <c r="AH26" i="23"/>
  <c r="AH18" i="23"/>
  <c r="AF21" i="23" s="1"/>
  <c r="AJ21" i="23" s="1"/>
  <c r="B29" i="23"/>
  <c r="F29" i="23" s="1"/>
  <c r="L29" i="23"/>
  <c r="P29" i="23" s="1"/>
  <c r="V29" i="23"/>
  <c r="Z29" i="23" s="1"/>
  <c r="AF29" i="23"/>
  <c r="AJ29" i="23" s="1"/>
  <c r="AF72" i="23"/>
  <c r="V72" i="23"/>
  <c r="L72" i="23"/>
  <c r="B72" i="23"/>
  <c r="B37" i="23"/>
  <c r="F37" i="23" s="1"/>
  <c r="L37" i="23"/>
  <c r="P37" i="23" s="1"/>
  <c r="V37" i="23"/>
  <c r="Z37" i="23" s="1"/>
  <c r="AF37" i="23"/>
  <c r="AJ37" i="23" s="1"/>
  <c r="I200" i="24"/>
  <c r="I195" i="24"/>
  <c r="I190" i="24"/>
  <c r="I185" i="24"/>
  <c r="I180" i="24"/>
  <c r="I175" i="24"/>
  <c r="I179" i="24"/>
  <c r="I183" i="24" s="1"/>
  <c r="I174" i="24"/>
  <c r="I178" i="24" s="1"/>
  <c r="D66" i="26"/>
  <c r="D118" i="26" s="1"/>
  <c r="E290" i="24"/>
  <c r="E283" i="24"/>
  <c r="E276" i="24"/>
  <c r="E269" i="24"/>
  <c r="E262" i="24"/>
  <c r="E255" i="24"/>
  <c r="E248" i="24"/>
  <c r="E241" i="24"/>
  <c r="E234" i="24"/>
  <c r="E227" i="24"/>
  <c r="D68" i="26"/>
  <c r="D120" i="26" s="1"/>
  <c r="E382" i="24"/>
  <c r="E375" i="24"/>
  <c r="E368" i="24"/>
  <c r="E361" i="24"/>
  <c r="E354" i="24"/>
  <c r="E347" i="24"/>
  <c r="E340" i="24"/>
  <c r="E333" i="24"/>
  <c r="E326" i="24"/>
  <c r="E319" i="24"/>
  <c r="E66" i="26"/>
  <c r="E118" i="26" s="1"/>
  <c r="F290" i="24"/>
  <c r="F283" i="24"/>
  <c r="F276" i="24"/>
  <c r="F269" i="24"/>
  <c r="F262" i="24"/>
  <c r="F255" i="24"/>
  <c r="F248" i="24"/>
  <c r="F241" i="24"/>
  <c r="F234" i="24"/>
  <c r="F227" i="24"/>
  <c r="E68" i="26"/>
  <c r="E120" i="26" s="1"/>
  <c r="F382" i="24"/>
  <c r="F375" i="24"/>
  <c r="F368" i="24"/>
  <c r="F361" i="24"/>
  <c r="F354" i="24"/>
  <c r="F347" i="24"/>
  <c r="F340" i="24"/>
  <c r="F333" i="24"/>
  <c r="F326" i="24"/>
  <c r="F319" i="24"/>
  <c r="H66" i="26"/>
  <c r="H118" i="26" s="1"/>
  <c r="I290" i="24"/>
  <c r="I283" i="24"/>
  <c r="I276" i="24"/>
  <c r="I269" i="24"/>
  <c r="I262" i="24"/>
  <c r="I255" i="24"/>
  <c r="I248" i="24"/>
  <c r="I241" i="24"/>
  <c r="I234" i="24"/>
  <c r="I227" i="24"/>
  <c r="H68" i="26"/>
  <c r="H120" i="26" s="1"/>
  <c r="I382" i="24"/>
  <c r="I375" i="24"/>
  <c r="I368" i="24"/>
  <c r="I361" i="24"/>
  <c r="I354" i="24"/>
  <c r="I347" i="24"/>
  <c r="I340" i="24"/>
  <c r="I333" i="24"/>
  <c r="I326" i="24"/>
  <c r="I319" i="24"/>
  <c r="D200" i="24"/>
  <c r="D203" i="24" s="1"/>
  <c r="D195" i="24"/>
  <c r="D198" i="24" s="1"/>
  <c r="D190" i="24"/>
  <c r="D193" i="24" s="1"/>
  <c r="D185" i="24"/>
  <c r="D188" i="24" s="1"/>
  <c r="D180" i="24"/>
  <c r="D175" i="24"/>
  <c r="E200" i="24"/>
  <c r="E203" i="24" s="1"/>
  <c r="E195" i="24"/>
  <c r="E198" i="24" s="1"/>
  <c r="E190" i="24"/>
  <c r="E193" i="24" s="1"/>
  <c r="E185" i="24"/>
  <c r="E188" i="24" s="1"/>
  <c r="E180" i="24"/>
  <c r="E175" i="24"/>
  <c r="F200" i="24"/>
  <c r="F203" i="24" s="1"/>
  <c r="F195" i="24"/>
  <c r="F198" i="24" s="1"/>
  <c r="F190" i="24"/>
  <c r="F193" i="24" s="1"/>
  <c r="F185" i="24"/>
  <c r="F188" i="24" s="1"/>
  <c r="F180" i="24"/>
  <c r="F175" i="24"/>
  <c r="G200" i="24"/>
  <c r="G203" i="24" s="1"/>
  <c r="G195" i="24"/>
  <c r="G198" i="24" s="1"/>
  <c r="G190" i="24"/>
  <c r="G193" i="24" s="1"/>
  <c r="G185" i="24"/>
  <c r="G188" i="24" s="1"/>
  <c r="G180" i="24"/>
  <c r="G175" i="24"/>
  <c r="H200" i="24"/>
  <c r="H203" i="24" s="1"/>
  <c r="H195" i="24"/>
  <c r="H198" i="24" s="1"/>
  <c r="H190" i="24"/>
  <c r="H193" i="24" s="1"/>
  <c r="H185" i="24"/>
  <c r="H188" i="24" s="1"/>
  <c r="H180" i="24"/>
  <c r="H175" i="24"/>
  <c r="E179" i="24"/>
  <c r="E183" i="24" s="1"/>
  <c r="E174" i="24"/>
  <c r="E178" i="24" s="1"/>
  <c r="F179" i="24"/>
  <c r="F183" i="24" s="1"/>
  <c r="F174" i="24"/>
  <c r="F178" i="24" s="1"/>
  <c r="G179" i="24"/>
  <c r="G183" i="24" s="1"/>
  <c r="G174" i="24"/>
  <c r="G178" i="24" s="1"/>
  <c r="H179" i="24"/>
  <c r="H183" i="24" s="1"/>
  <c r="H174" i="24"/>
  <c r="H178" i="24" s="1"/>
  <c r="H70" i="26"/>
  <c r="H122" i="26" s="1"/>
  <c r="I137" i="24"/>
  <c r="H67" i="26"/>
  <c r="H119" i="26" s="1"/>
  <c r="I292" i="24"/>
  <c r="I286" i="24"/>
  <c r="I279" i="24"/>
  <c r="I271" i="24"/>
  <c r="I265" i="24"/>
  <c r="I258" i="24"/>
  <c r="I251" i="24"/>
  <c r="I244" i="24"/>
  <c r="I237" i="24"/>
  <c r="I230" i="24"/>
  <c r="H69" i="26"/>
  <c r="H121" i="26" s="1"/>
  <c r="I384" i="24"/>
  <c r="I378" i="24"/>
  <c r="I371" i="24"/>
  <c r="I363" i="24"/>
  <c r="I357" i="24"/>
  <c r="I350" i="24"/>
  <c r="I343" i="24"/>
  <c r="I336" i="24"/>
  <c r="I329" i="24"/>
  <c r="I322" i="24"/>
  <c r="C70" i="26"/>
  <c r="C122" i="26" s="1"/>
  <c r="D137" i="24"/>
  <c r="D70" i="26"/>
  <c r="D122" i="26" s="1"/>
  <c r="E137" i="24"/>
  <c r="E70" i="26"/>
  <c r="E122" i="26" s="1"/>
  <c r="F137" i="24"/>
  <c r="F70" i="26"/>
  <c r="F122" i="26" s="1"/>
  <c r="G137" i="24"/>
  <c r="G70" i="26"/>
  <c r="G122" i="26" s="1"/>
  <c r="H137" i="24"/>
  <c r="I140" i="24"/>
  <c r="D179" i="24"/>
  <c r="D183" i="24" s="1"/>
  <c r="D174" i="24"/>
  <c r="D178" i="24" s="1"/>
  <c r="I188" i="24"/>
  <c r="I193" i="24"/>
  <c r="I198" i="24"/>
  <c r="I203" i="24"/>
  <c r="C66" i="26"/>
  <c r="C118" i="26" s="1"/>
  <c r="D290" i="24"/>
  <c r="D283" i="24"/>
  <c r="D276" i="24"/>
  <c r="D269" i="24"/>
  <c r="D262" i="24"/>
  <c r="D255" i="24"/>
  <c r="D248" i="24"/>
  <c r="D241" i="24"/>
  <c r="D234" i="24"/>
  <c r="D227" i="24"/>
  <c r="F66" i="26"/>
  <c r="F118" i="26" s="1"/>
  <c r="G290" i="24"/>
  <c r="G283" i="24"/>
  <c r="G276" i="24"/>
  <c r="G269" i="24"/>
  <c r="G262" i="24"/>
  <c r="G255" i="24"/>
  <c r="G248" i="24"/>
  <c r="G241" i="24"/>
  <c r="G234" i="24"/>
  <c r="G227" i="24"/>
  <c r="G66" i="26"/>
  <c r="G118" i="26" s="1"/>
  <c r="H290" i="24"/>
  <c r="H283" i="24"/>
  <c r="H276" i="24"/>
  <c r="H269" i="24"/>
  <c r="H262" i="24"/>
  <c r="H255" i="24"/>
  <c r="H248" i="24"/>
  <c r="H241" i="24"/>
  <c r="H234" i="24"/>
  <c r="H227" i="24"/>
  <c r="C67" i="26"/>
  <c r="C119" i="26" s="1"/>
  <c r="D292" i="24"/>
  <c r="D286" i="24"/>
  <c r="D279" i="24"/>
  <c r="D271" i="24"/>
  <c r="D265" i="24"/>
  <c r="D258" i="24"/>
  <c r="D251" i="24"/>
  <c r="D244" i="24"/>
  <c r="D237" i="24"/>
  <c r="D230" i="24"/>
  <c r="D67" i="26"/>
  <c r="D119" i="26" s="1"/>
  <c r="E292" i="24"/>
  <c r="E286" i="24"/>
  <c r="E279" i="24"/>
  <c r="E271" i="24"/>
  <c r="E265" i="24"/>
  <c r="E258" i="24"/>
  <c r="E251" i="24"/>
  <c r="E244" i="24"/>
  <c r="E237" i="24"/>
  <c r="E230" i="24"/>
  <c r="E67" i="26"/>
  <c r="E119" i="26" s="1"/>
  <c r="F292" i="24"/>
  <c r="F286" i="24"/>
  <c r="F279" i="24"/>
  <c r="F271" i="24"/>
  <c r="F265" i="24"/>
  <c r="F258" i="24"/>
  <c r="F251" i="24"/>
  <c r="F244" i="24"/>
  <c r="F237" i="24"/>
  <c r="F230" i="24"/>
  <c r="F67" i="26"/>
  <c r="F119" i="26" s="1"/>
  <c r="G292" i="24"/>
  <c r="G286" i="24"/>
  <c r="G279" i="24"/>
  <c r="G271" i="24"/>
  <c r="G265" i="24"/>
  <c r="G258" i="24"/>
  <c r="G251" i="24"/>
  <c r="G244" i="24"/>
  <c r="G237" i="24"/>
  <c r="G230" i="24"/>
  <c r="G67" i="26"/>
  <c r="G119" i="26" s="1"/>
  <c r="H292" i="24"/>
  <c r="H286" i="24"/>
  <c r="H279" i="24"/>
  <c r="H271" i="24"/>
  <c r="H265" i="24"/>
  <c r="H258" i="24"/>
  <c r="H251" i="24"/>
  <c r="H244" i="24"/>
  <c r="H237" i="24"/>
  <c r="H230" i="24"/>
  <c r="C68" i="26"/>
  <c r="C120" i="26" s="1"/>
  <c r="D382" i="24"/>
  <c r="D375" i="24"/>
  <c r="D368" i="24"/>
  <c r="D361" i="24"/>
  <c r="D354" i="24"/>
  <c r="D347" i="24"/>
  <c r="D340" i="24"/>
  <c r="D333" i="24"/>
  <c r="D326" i="24"/>
  <c r="D319" i="24"/>
  <c r="F68" i="26"/>
  <c r="F120" i="26" s="1"/>
  <c r="G382" i="24"/>
  <c r="G375" i="24"/>
  <c r="G368" i="24"/>
  <c r="G361" i="24"/>
  <c r="G354" i="24"/>
  <c r="G347" i="24"/>
  <c r="G340" i="24"/>
  <c r="G333" i="24"/>
  <c r="G326" i="24"/>
  <c r="G319" i="24"/>
  <c r="G68" i="26"/>
  <c r="G120" i="26" s="1"/>
  <c r="H382" i="24"/>
  <c r="H375" i="24"/>
  <c r="H368" i="24"/>
  <c r="H361" i="24"/>
  <c r="H354" i="24"/>
  <c r="H347" i="24"/>
  <c r="H340" i="24"/>
  <c r="H333" i="24"/>
  <c r="H326" i="24"/>
  <c r="H319" i="24"/>
  <c r="C69" i="26"/>
  <c r="C121" i="26" s="1"/>
  <c r="D384" i="24"/>
  <c r="D378" i="24"/>
  <c r="D371" i="24"/>
  <c r="D363" i="24"/>
  <c r="D357" i="24"/>
  <c r="D350" i="24"/>
  <c r="D343" i="24"/>
  <c r="D336" i="24"/>
  <c r="D329" i="24"/>
  <c r="D322" i="24"/>
  <c r="D69" i="26"/>
  <c r="D121" i="26" s="1"/>
  <c r="E384" i="24"/>
  <c r="E378" i="24"/>
  <c r="E371" i="24"/>
  <c r="E363" i="24"/>
  <c r="E357" i="24"/>
  <c r="E350" i="24"/>
  <c r="E343" i="24"/>
  <c r="E336" i="24"/>
  <c r="E329" i="24"/>
  <c r="E322" i="24"/>
  <c r="E69" i="26"/>
  <c r="E121" i="26" s="1"/>
  <c r="F384" i="24"/>
  <c r="F378" i="24"/>
  <c r="F371" i="24"/>
  <c r="F363" i="24"/>
  <c r="F357" i="24"/>
  <c r="F350" i="24"/>
  <c r="F343" i="24"/>
  <c r="F336" i="24"/>
  <c r="F329" i="24"/>
  <c r="F322" i="24"/>
  <c r="F69" i="26"/>
  <c r="F121" i="26" s="1"/>
  <c r="G384" i="24"/>
  <c r="G378" i="24"/>
  <c r="G371" i="24"/>
  <c r="G363" i="24"/>
  <c r="G357" i="24"/>
  <c r="G350" i="24"/>
  <c r="G343" i="24"/>
  <c r="G336" i="24"/>
  <c r="G329" i="24"/>
  <c r="G322" i="24"/>
  <c r="G69" i="26"/>
  <c r="G121" i="26" s="1"/>
  <c r="H384" i="24"/>
  <c r="H378" i="24"/>
  <c r="H371" i="24"/>
  <c r="H363" i="24"/>
  <c r="H357" i="24"/>
  <c r="H350" i="24"/>
  <c r="H343" i="24"/>
  <c r="H336" i="24"/>
  <c r="H329" i="24"/>
  <c r="H322" i="24"/>
  <c r="D71" i="26"/>
  <c r="D123" i="26" s="1"/>
  <c r="E529" i="24"/>
  <c r="E532" i="24" s="1"/>
  <c r="E509" i="24"/>
  <c r="E71" i="26"/>
  <c r="E123" i="26" s="1"/>
  <c r="F529" i="24"/>
  <c r="F532" i="24" s="1"/>
  <c r="F509" i="24"/>
  <c r="G71" i="26"/>
  <c r="G123" i="26" s="1"/>
  <c r="H529" i="24"/>
  <c r="H532" i="24" s="1"/>
  <c r="H509" i="24"/>
  <c r="H71" i="26"/>
  <c r="H123" i="26" s="1"/>
  <c r="I529" i="24"/>
  <c r="I509" i="24"/>
  <c r="I514" i="24" s="1"/>
  <c r="I519" i="24" s="1"/>
  <c r="I524" i="24" s="1"/>
  <c r="I539" i="24" s="1"/>
  <c r="I544" i="24" s="1"/>
  <c r="I549" i="24" s="1"/>
  <c r="I554" i="24" s="1"/>
  <c r="I527" i="24"/>
  <c r="D72" i="26"/>
  <c r="D124" i="26" s="1"/>
  <c r="E645" i="24"/>
  <c r="E638" i="24"/>
  <c r="E631" i="24"/>
  <c r="E624" i="24"/>
  <c r="E617" i="24"/>
  <c r="E610" i="24"/>
  <c r="E603" i="24"/>
  <c r="E596" i="24"/>
  <c r="E589" i="24"/>
  <c r="E582" i="24"/>
  <c r="D74" i="26"/>
  <c r="D126" i="26" s="1"/>
  <c r="E739" i="24"/>
  <c r="E732" i="24"/>
  <c r="E725" i="24"/>
  <c r="E718" i="24"/>
  <c r="E711" i="24"/>
  <c r="E704" i="24"/>
  <c r="E697" i="24"/>
  <c r="E690" i="24"/>
  <c r="E683" i="24"/>
  <c r="E676" i="24"/>
  <c r="E72" i="26"/>
  <c r="E124" i="26" s="1"/>
  <c r="F645" i="24"/>
  <c r="F638" i="24"/>
  <c r="F631" i="24"/>
  <c r="F624" i="24"/>
  <c r="F617" i="24"/>
  <c r="F610" i="24"/>
  <c r="F603" i="24"/>
  <c r="F596" i="24"/>
  <c r="F589" i="24"/>
  <c r="F582" i="24"/>
  <c r="E74" i="26"/>
  <c r="E126" i="26" s="1"/>
  <c r="F739" i="24"/>
  <c r="F732" i="24"/>
  <c r="F725" i="24"/>
  <c r="F718" i="24"/>
  <c r="F711" i="24"/>
  <c r="F704" i="24"/>
  <c r="F697" i="24"/>
  <c r="F690" i="24"/>
  <c r="F683" i="24"/>
  <c r="F676" i="24"/>
  <c r="G72" i="26"/>
  <c r="G124" i="26" s="1"/>
  <c r="H645" i="24"/>
  <c r="H638" i="24"/>
  <c r="H631" i="24"/>
  <c r="H624" i="24"/>
  <c r="H617" i="24"/>
  <c r="H610" i="24"/>
  <c r="H603" i="24"/>
  <c r="H596" i="24"/>
  <c r="H589" i="24"/>
  <c r="H582" i="24"/>
  <c r="G74" i="26"/>
  <c r="G126" i="26" s="1"/>
  <c r="H739" i="24"/>
  <c r="H732" i="24"/>
  <c r="H725" i="24"/>
  <c r="H718" i="24"/>
  <c r="H711" i="24"/>
  <c r="H704" i="24"/>
  <c r="H697" i="24"/>
  <c r="H690" i="24"/>
  <c r="H683" i="24"/>
  <c r="H676" i="24"/>
  <c r="H72" i="26"/>
  <c r="H124" i="26" s="1"/>
  <c r="I645" i="24"/>
  <c r="I638" i="24"/>
  <c r="I631" i="24"/>
  <c r="I624" i="24"/>
  <c r="I617" i="24"/>
  <c r="I610" i="24"/>
  <c r="I603" i="24"/>
  <c r="I596" i="24"/>
  <c r="I589" i="24"/>
  <c r="I582" i="24"/>
  <c r="H74" i="26"/>
  <c r="H126" i="26" s="1"/>
  <c r="I739" i="24"/>
  <c r="I732" i="24"/>
  <c r="I725" i="24"/>
  <c r="I718" i="24"/>
  <c r="I711" i="24"/>
  <c r="I704" i="24"/>
  <c r="I697" i="24"/>
  <c r="I690" i="24"/>
  <c r="I683" i="24"/>
  <c r="I676" i="24"/>
  <c r="H73" i="26"/>
  <c r="H125" i="26" s="1"/>
  <c r="I647" i="24"/>
  <c r="I641" i="24"/>
  <c r="I634" i="24"/>
  <c r="I627" i="24"/>
  <c r="I620" i="24"/>
  <c r="I613" i="24"/>
  <c r="I606" i="24"/>
  <c r="I599" i="24"/>
  <c r="I592" i="24"/>
  <c r="I585" i="24"/>
  <c r="H75" i="26"/>
  <c r="H127" i="26" s="1"/>
  <c r="I741" i="24"/>
  <c r="I735" i="24"/>
  <c r="I728" i="24"/>
  <c r="I721" i="24"/>
  <c r="I714" i="24"/>
  <c r="I707" i="24"/>
  <c r="I700" i="24"/>
  <c r="I693" i="24"/>
  <c r="I686" i="24"/>
  <c r="I679" i="24"/>
  <c r="I556" i="24"/>
  <c r="C71" i="26"/>
  <c r="C123" i="26" s="1"/>
  <c r="D529" i="24"/>
  <c r="D532" i="24" s="1"/>
  <c r="D509" i="24"/>
  <c r="F71" i="26"/>
  <c r="F123" i="26" s="1"/>
  <c r="G529" i="24"/>
  <c r="G532" i="24" s="1"/>
  <c r="G509" i="24"/>
  <c r="I512" i="24"/>
  <c r="I517" i="24"/>
  <c r="I522" i="24"/>
  <c r="I532" i="24"/>
  <c r="I537" i="24"/>
  <c r="I542" i="24"/>
  <c r="I547" i="24"/>
  <c r="I552" i="24"/>
  <c r="C72" i="26"/>
  <c r="C124" i="26" s="1"/>
  <c r="D645" i="24"/>
  <c r="D638" i="24"/>
  <c r="D631" i="24"/>
  <c r="D624" i="24"/>
  <c r="D617" i="24"/>
  <c r="D610" i="24"/>
  <c r="D603" i="24"/>
  <c r="D596" i="24"/>
  <c r="D589" i="24"/>
  <c r="D582" i="24"/>
  <c r="F72" i="26"/>
  <c r="F124" i="26" s="1"/>
  <c r="G645" i="24"/>
  <c r="G638" i="24"/>
  <c r="G631" i="24"/>
  <c r="G624" i="24"/>
  <c r="G617" i="24"/>
  <c r="G610" i="24"/>
  <c r="G603" i="24"/>
  <c r="G596" i="24"/>
  <c r="G589" i="24"/>
  <c r="G582" i="24"/>
  <c r="C73" i="26"/>
  <c r="C125" i="26" s="1"/>
  <c r="D647" i="24"/>
  <c r="D641" i="24"/>
  <c r="D634" i="24"/>
  <c r="D627" i="24"/>
  <c r="D620" i="24"/>
  <c r="D613" i="24"/>
  <c r="D606" i="24"/>
  <c r="D599" i="24"/>
  <c r="D592" i="24"/>
  <c r="D585" i="24"/>
  <c r="D73" i="26"/>
  <c r="D125" i="26" s="1"/>
  <c r="E647" i="24"/>
  <c r="E641" i="24"/>
  <c r="E634" i="24"/>
  <c r="E627" i="24"/>
  <c r="E620" i="24"/>
  <c r="E613" i="24"/>
  <c r="E606" i="24"/>
  <c r="E599" i="24"/>
  <c r="E592" i="24"/>
  <c r="E585" i="24"/>
  <c r="E73" i="26"/>
  <c r="E125" i="26" s="1"/>
  <c r="F647" i="24"/>
  <c r="F641" i="24"/>
  <c r="F634" i="24"/>
  <c r="F627" i="24"/>
  <c r="F620" i="24"/>
  <c r="F613" i="24"/>
  <c r="F606" i="24"/>
  <c r="F599" i="24"/>
  <c r="F592" i="24"/>
  <c r="F585" i="24"/>
  <c r="F73" i="26"/>
  <c r="F125" i="26" s="1"/>
  <c r="G647" i="24"/>
  <c r="G641" i="24"/>
  <c r="G634" i="24"/>
  <c r="G627" i="24"/>
  <c r="G620" i="24"/>
  <c r="G613" i="24"/>
  <c r="G606" i="24"/>
  <c r="G599" i="24"/>
  <c r="G592" i="24"/>
  <c r="G585" i="24"/>
  <c r="G73" i="26"/>
  <c r="G125" i="26" s="1"/>
  <c r="H647" i="24"/>
  <c r="H641" i="24"/>
  <c r="H634" i="24"/>
  <c r="H627" i="24"/>
  <c r="H620" i="24"/>
  <c r="H613" i="24"/>
  <c r="H606" i="24"/>
  <c r="H599" i="24"/>
  <c r="H592" i="24"/>
  <c r="H585" i="24"/>
  <c r="C74" i="26"/>
  <c r="C126" i="26" s="1"/>
  <c r="D739" i="24"/>
  <c r="D732" i="24"/>
  <c r="D725" i="24"/>
  <c r="D718" i="24"/>
  <c r="D711" i="24"/>
  <c r="D704" i="24"/>
  <c r="D697" i="24"/>
  <c r="D690" i="24"/>
  <c r="D683" i="24"/>
  <c r="D676" i="24"/>
  <c r="F74" i="26"/>
  <c r="F126" i="26" s="1"/>
  <c r="G739" i="24"/>
  <c r="G732" i="24"/>
  <c r="G725" i="24"/>
  <c r="G718" i="24"/>
  <c r="G711" i="24"/>
  <c r="G704" i="24"/>
  <c r="G697" i="24"/>
  <c r="G690" i="24"/>
  <c r="G683" i="24"/>
  <c r="G676" i="24"/>
  <c r="C75" i="26"/>
  <c r="C127" i="26" s="1"/>
  <c r="D741" i="24"/>
  <c r="D735" i="24"/>
  <c r="D728" i="24"/>
  <c r="D721" i="24"/>
  <c r="D714" i="24"/>
  <c r="D707" i="24"/>
  <c r="D700" i="24"/>
  <c r="D693" i="24"/>
  <c r="D686" i="24"/>
  <c r="D679" i="24"/>
  <c r="D75" i="26"/>
  <c r="D127" i="26" s="1"/>
  <c r="E741" i="24"/>
  <c r="E735" i="24"/>
  <c r="E728" i="24"/>
  <c r="E721" i="24"/>
  <c r="E714" i="24"/>
  <c r="E707" i="24"/>
  <c r="E700" i="24"/>
  <c r="E693" i="24"/>
  <c r="E686" i="24"/>
  <c r="E679" i="24"/>
  <c r="E75" i="26"/>
  <c r="E127" i="26" s="1"/>
  <c r="F741" i="24"/>
  <c r="F735" i="24"/>
  <c r="F728" i="24"/>
  <c r="F721" i="24"/>
  <c r="F714" i="24"/>
  <c r="F707" i="24"/>
  <c r="F700" i="24"/>
  <c r="F693" i="24"/>
  <c r="F686" i="24"/>
  <c r="F679" i="24"/>
  <c r="F75" i="26"/>
  <c r="F127" i="26" s="1"/>
  <c r="G741" i="24"/>
  <c r="G735" i="24"/>
  <c r="G728" i="24"/>
  <c r="G721" i="24"/>
  <c r="G714" i="24"/>
  <c r="G707" i="24"/>
  <c r="G700" i="24"/>
  <c r="G693" i="24"/>
  <c r="G686" i="24"/>
  <c r="G679" i="24"/>
  <c r="G75" i="26"/>
  <c r="G127" i="26" s="1"/>
  <c r="H741" i="24"/>
  <c r="H735" i="24"/>
  <c r="H728" i="24"/>
  <c r="H721" i="24"/>
  <c r="H714" i="24"/>
  <c r="H707" i="24"/>
  <c r="H700" i="24"/>
  <c r="H693" i="24"/>
  <c r="H686" i="24"/>
  <c r="H679" i="24"/>
  <c r="C76" i="26"/>
  <c r="C128" i="26" s="1"/>
  <c r="D979" i="24"/>
  <c r="D969" i="24"/>
  <c r="D976" i="24" s="1"/>
  <c r="D959" i="24"/>
  <c r="D966" i="24" s="1"/>
  <c r="D949" i="24"/>
  <c r="D956" i="24" s="1"/>
  <c r="D941" i="24"/>
  <c r="D946" i="24" s="1"/>
  <c r="D931" i="24"/>
  <c r="D921" i="24"/>
  <c r="D76" i="26"/>
  <c r="D128" i="26" s="1"/>
  <c r="E979" i="24"/>
  <c r="E969" i="24"/>
  <c r="E976" i="24" s="1"/>
  <c r="E959" i="24"/>
  <c r="E966" i="24" s="1"/>
  <c r="E949" i="24"/>
  <c r="E956" i="24" s="1"/>
  <c r="E941" i="24"/>
  <c r="E946" i="24" s="1"/>
  <c r="E931" i="24"/>
  <c r="E921" i="24"/>
  <c r="E76" i="26"/>
  <c r="E128" i="26" s="1"/>
  <c r="F979" i="24"/>
  <c r="F969" i="24"/>
  <c r="F976" i="24" s="1"/>
  <c r="F959" i="24"/>
  <c r="F966" i="24" s="1"/>
  <c r="F949" i="24"/>
  <c r="F956" i="24" s="1"/>
  <c r="F941" i="24"/>
  <c r="F946" i="24" s="1"/>
  <c r="F931" i="24"/>
  <c r="F921" i="24"/>
  <c r="F76" i="26"/>
  <c r="F128" i="26" s="1"/>
  <c r="G979" i="24"/>
  <c r="G969" i="24"/>
  <c r="G976" i="24" s="1"/>
  <c r="G959" i="24"/>
  <c r="G966" i="24" s="1"/>
  <c r="G949" i="24"/>
  <c r="G956" i="24" s="1"/>
  <c r="G941" i="24"/>
  <c r="G946" i="24" s="1"/>
  <c r="G931" i="24"/>
  <c r="G921" i="24"/>
  <c r="G76" i="26"/>
  <c r="G128" i="26" s="1"/>
  <c r="H979" i="24"/>
  <c r="H969" i="24"/>
  <c r="H976" i="24" s="1"/>
  <c r="H959" i="24"/>
  <c r="H966" i="24" s="1"/>
  <c r="H949" i="24"/>
  <c r="H956" i="24" s="1"/>
  <c r="H941" i="24"/>
  <c r="H946" i="24" s="1"/>
  <c r="H931" i="24"/>
  <c r="H921" i="24"/>
  <c r="H76" i="26"/>
  <c r="H128" i="26" s="1"/>
  <c r="I979" i="24"/>
  <c r="I969" i="24"/>
  <c r="I959" i="24"/>
  <c r="I949" i="24"/>
  <c r="I941" i="24"/>
  <c r="I931" i="24"/>
  <c r="I921" i="24"/>
  <c r="I930" i="24"/>
  <c r="I938" i="24" s="1"/>
  <c r="I920" i="24"/>
  <c r="I928" i="24" s="1"/>
  <c r="H77" i="26"/>
  <c r="H129" i="26" s="1"/>
  <c r="I981" i="24"/>
  <c r="I971" i="24"/>
  <c r="I961" i="24"/>
  <c r="I951" i="24"/>
  <c r="I943" i="24"/>
  <c r="I933" i="24"/>
  <c r="I923" i="24"/>
  <c r="I939" i="24"/>
  <c r="C77" i="26"/>
  <c r="C129" i="26" s="1"/>
  <c r="D981" i="24"/>
  <c r="D971" i="24"/>
  <c r="D977" i="24" s="1"/>
  <c r="D961" i="24"/>
  <c r="D967" i="24" s="1"/>
  <c r="D951" i="24"/>
  <c r="D957" i="24" s="1"/>
  <c r="D943" i="24"/>
  <c r="D947" i="24" s="1"/>
  <c r="D933" i="24"/>
  <c r="D923" i="24"/>
  <c r="D929" i="24" s="1"/>
  <c r="D77" i="26"/>
  <c r="D129" i="26" s="1"/>
  <c r="E981" i="24"/>
  <c r="E971" i="24"/>
  <c r="E977" i="24" s="1"/>
  <c r="E961" i="24"/>
  <c r="E967" i="24" s="1"/>
  <c r="E951" i="24"/>
  <c r="E957" i="24" s="1"/>
  <c r="E943" i="24"/>
  <c r="E947" i="24" s="1"/>
  <c r="E933" i="24"/>
  <c r="E923" i="24"/>
  <c r="E929" i="24" s="1"/>
  <c r="E77" i="26"/>
  <c r="E129" i="26" s="1"/>
  <c r="F981" i="24"/>
  <c r="F971" i="24"/>
  <c r="F977" i="24" s="1"/>
  <c r="F961" i="24"/>
  <c r="F967" i="24" s="1"/>
  <c r="F951" i="24"/>
  <c r="F957" i="24" s="1"/>
  <c r="F943" i="24"/>
  <c r="F947" i="24" s="1"/>
  <c r="F933" i="24"/>
  <c r="F923" i="24"/>
  <c r="F929" i="24" s="1"/>
  <c r="F77" i="26"/>
  <c r="F129" i="26" s="1"/>
  <c r="G981" i="24"/>
  <c r="G971" i="24"/>
  <c r="G977" i="24" s="1"/>
  <c r="G961" i="24"/>
  <c r="G967" i="24" s="1"/>
  <c r="G951" i="24"/>
  <c r="G957" i="24" s="1"/>
  <c r="G943" i="24"/>
  <c r="G947" i="24" s="1"/>
  <c r="G933" i="24"/>
  <c r="G923" i="24"/>
  <c r="G929" i="24" s="1"/>
  <c r="G77" i="26"/>
  <c r="G129" i="26" s="1"/>
  <c r="H981" i="24"/>
  <c r="H971" i="24"/>
  <c r="H977" i="24" s="1"/>
  <c r="H961" i="24"/>
  <c r="H967" i="24" s="1"/>
  <c r="H951" i="24"/>
  <c r="H957" i="24" s="1"/>
  <c r="H943" i="24"/>
  <c r="H947" i="24" s="1"/>
  <c r="H933" i="24"/>
  <c r="H923" i="24"/>
  <c r="H929" i="24" s="1"/>
  <c r="D984" i="24"/>
  <c r="E984" i="24"/>
  <c r="F984" i="24"/>
  <c r="G984" i="24"/>
  <c r="H984" i="24"/>
  <c r="I984" i="24"/>
  <c r="D930" i="24"/>
  <c r="D938" i="24" s="1"/>
  <c r="D920" i="24"/>
  <c r="D928" i="24" s="1"/>
  <c r="D987" i="24" s="1"/>
  <c r="C39" i="25" s="1"/>
  <c r="E930" i="24"/>
  <c r="E938" i="24" s="1"/>
  <c r="E920" i="24"/>
  <c r="E928" i="24" s="1"/>
  <c r="E987" i="24" s="1"/>
  <c r="D39" i="25" s="1"/>
  <c r="C33" i="1" s="1"/>
  <c r="F930" i="24"/>
  <c r="F938" i="24" s="1"/>
  <c r="F920" i="24"/>
  <c r="F928" i="24" s="1"/>
  <c r="F987" i="24" s="1"/>
  <c r="E39" i="25" s="1"/>
  <c r="D33" i="1" s="1"/>
  <c r="G930" i="24"/>
  <c r="G938" i="24" s="1"/>
  <c r="G920" i="24"/>
  <c r="G928" i="24" s="1"/>
  <c r="G987" i="24" s="1"/>
  <c r="F39" i="25" s="1"/>
  <c r="E33" i="1" s="1"/>
  <c r="H930" i="24"/>
  <c r="H938" i="24" s="1"/>
  <c r="H920" i="24"/>
  <c r="H928" i="24" s="1"/>
  <c r="H987" i="24" s="1"/>
  <c r="G39" i="25" s="1"/>
  <c r="F33" i="1" s="1"/>
  <c r="D939" i="24"/>
  <c r="E939" i="24"/>
  <c r="F939" i="24"/>
  <c r="G939" i="24"/>
  <c r="H939" i="24"/>
  <c r="D985" i="24"/>
  <c r="E985" i="24"/>
  <c r="F985" i="24"/>
  <c r="G985" i="24"/>
  <c r="H985" i="24"/>
  <c r="I985" i="24"/>
  <c r="I929" i="24"/>
  <c r="I946" i="24"/>
  <c r="I947" i="24"/>
  <c r="I956" i="24"/>
  <c r="I957" i="24"/>
  <c r="I966" i="24"/>
  <c r="I967" i="24"/>
  <c r="I976" i="24"/>
  <c r="I977" i="24"/>
  <c r="H78" i="26"/>
  <c r="H130" i="26" s="1"/>
  <c r="I1195" i="24"/>
  <c r="I1205" i="24" s="1"/>
  <c r="I1185" i="24"/>
  <c r="I1175" i="24"/>
  <c r="I1167" i="24"/>
  <c r="I1157" i="24"/>
  <c r="I1147" i="24"/>
  <c r="I1156" i="24"/>
  <c r="I1164" i="24" s="1"/>
  <c r="I1146" i="24"/>
  <c r="I1154" i="24" s="1"/>
  <c r="H79" i="26"/>
  <c r="H131" i="26" s="1"/>
  <c r="I1197" i="24"/>
  <c r="I1207" i="24" s="1"/>
  <c r="I1187" i="24"/>
  <c r="I1177" i="24"/>
  <c r="I1169" i="24"/>
  <c r="I1159" i="24"/>
  <c r="I1149" i="24"/>
  <c r="I1165" i="24"/>
  <c r="C80" i="26"/>
  <c r="C132" i="26" s="1"/>
  <c r="C48" i="25"/>
  <c r="D1298" i="24"/>
  <c r="D1291" i="24"/>
  <c r="D1284" i="24"/>
  <c r="D1277" i="24"/>
  <c r="D1270" i="24"/>
  <c r="D1263" i="24"/>
  <c r="D1256" i="24"/>
  <c r="D1249" i="24"/>
  <c r="D1242" i="24"/>
  <c r="C49" i="25"/>
  <c r="D1294" i="24"/>
  <c r="D1287" i="24"/>
  <c r="D1273" i="24"/>
  <c r="D1266" i="24"/>
  <c r="D1259" i="24"/>
  <c r="D1252" i="24"/>
  <c r="D1245" i="24"/>
  <c r="D80" i="26"/>
  <c r="D132" i="26" s="1"/>
  <c r="D48" i="25"/>
  <c r="E1298" i="24"/>
  <c r="E1291" i="24"/>
  <c r="E1284" i="24"/>
  <c r="E1277" i="24"/>
  <c r="E1270" i="24"/>
  <c r="E1263" i="24"/>
  <c r="E1256" i="24"/>
  <c r="E1249" i="24"/>
  <c r="E1242" i="24"/>
  <c r="D49" i="25"/>
  <c r="D81" i="26" s="1"/>
  <c r="D133" i="26" s="1"/>
  <c r="E1294" i="24"/>
  <c r="E1287" i="24"/>
  <c r="E1273" i="24"/>
  <c r="E1266" i="24"/>
  <c r="E1259" i="24"/>
  <c r="E1252" i="24"/>
  <c r="E1245" i="24"/>
  <c r="E80" i="26"/>
  <c r="E132" i="26" s="1"/>
  <c r="E48" i="25"/>
  <c r="F1298" i="24"/>
  <c r="F1291" i="24"/>
  <c r="F1284" i="24"/>
  <c r="F1277" i="24"/>
  <c r="F1270" i="24"/>
  <c r="F1263" i="24"/>
  <c r="F1256" i="24"/>
  <c r="F1249" i="24"/>
  <c r="F1242" i="24"/>
  <c r="E49" i="25"/>
  <c r="E81" i="26" s="1"/>
  <c r="E133" i="26" s="1"/>
  <c r="F1294" i="24"/>
  <c r="F1287" i="24"/>
  <c r="F1273" i="24"/>
  <c r="F1266" i="24"/>
  <c r="F1259" i="24"/>
  <c r="F1252" i="24"/>
  <c r="F1245" i="24"/>
  <c r="F80" i="26"/>
  <c r="F132" i="26" s="1"/>
  <c r="F48" i="25"/>
  <c r="G1298" i="24"/>
  <c r="G1291" i="24"/>
  <c r="G1284" i="24"/>
  <c r="G1277" i="24"/>
  <c r="G1270" i="24"/>
  <c r="G1263" i="24"/>
  <c r="G1256" i="24"/>
  <c r="G1249" i="24"/>
  <c r="G1242" i="24"/>
  <c r="F49" i="25"/>
  <c r="F81" i="26" s="1"/>
  <c r="F133" i="26" s="1"/>
  <c r="G1294" i="24"/>
  <c r="G1287" i="24"/>
  <c r="G1273" i="24"/>
  <c r="G1266" i="24"/>
  <c r="G1259" i="24"/>
  <c r="G1252" i="24"/>
  <c r="G1245" i="24"/>
  <c r="G80" i="26"/>
  <c r="G132" i="26" s="1"/>
  <c r="G48" i="25"/>
  <c r="H1298" i="24"/>
  <c r="H1291" i="24"/>
  <c r="H1284" i="24"/>
  <c r="H1277" i="24"/>
  <c r="H1270" i="24"/>
  <c r="H1263" i="24"/>
  <c r="H1256" i="24"/>
  <c r="H1249" i="24"/>
  <c r="H1242" i="24"/>
  <c r="G49" i="25"/>
  <c r="G81" i="26" s="1"/>
  <c r="G133" i="26" s="1"/>
  <c r="H1294" i="24"/>
  <c r="H1287" i="24"/>
  <c r="H1273" i="24"/>
  <c r="H1266" i="24"/>
  <c r="H1259" i="24"/>
  <c r="H1252" i="24"/>
  <c r="H1245" i="24"/>
  <c r="H80" i="26"/>
  <c r="H132" i="26" s="1"/>
  <c r="H48" i="25"/>
  <c r="I1298" i="24"/>
  <c r="I1291" i="24"/>
  <c r="I1284" i="24"/>
  <c r="I1277" i="24"/>
  <c r="I1270" i="24"/>
  <c r="I1263" i="24"/>
  <c r="I1256" i="24"/>
  <c r="I1249" i="24"/>
  <c r="I1242" i="24"/>
  <c r="H49" i="25"/>
  <c r="H81" i="26" s="1"/>
  <c r="H133" i="26" s="1"/>
  <c r="I1294" i="24"/>
  <c r="I1287" i="24"/>
  <c r="I1273" i="24"/>
  <c r="I1266" i="24"/>
  <c r="I1259" i="24"/>
  <c r="I1252" i="24"/>
  <c r="I1245" i="24"/>
  <c r="C78" i="26"/>
  <c r="C130" i="26" s="1"/>
  <c r="D1195" i="24"/>
  <c r="D1185" i="24"/>
  <c r="D1192" i="24" s="1"/>
  <c r="D1175" i="24"/>
  <c r="D1182" i="24" s="1"/>
  <c r="D1167" i="24"/>
  <c r="D1172" i="24" s="1"/>
  <c r="D1157" i="24"/>
  <c r="D1147" i="24"/>
  <c r="D78" i="26"/>
  <c r="D130" i="26" s="1"/>
  <c r="E1195" i="24"/>
  <c r="E1185" i="24"/>
  <c r="E1192" i="24" s="1"/>
  <c r="E1175" i="24"/>
  <c r="E1182" i="24" s="1"/>
  <c r="E1167" i="24"/>
  <c r="E1172" i="24" s="1"/>
  <c r="E1157" i="24"/>
  <c r="E1147" i="24"/>
  <c r="E78" i="26"/>
  <c r="E130" i="26" s="1"/>
  <c r="F1195" i="24"/>
  <c r="F1185" i="24"/>
  <c r="F1192" i="24" s="1"/>
  <c r="F1175" i="24"/>
  <c r="F1182" i="24" s="1"/>
  <c r="F1167" i="24"/>
  <c r="F1172" i="24" s="1"/>
  <c r="F1157" i="24"/>
  <c r="F1147" i="24"/>
  <c r="F78" i="26"/>
  <c r="F130" i="26" s="1"/>
  <c r="G1195" i="24"/>
  <c r="G1185" i="24"/>
  <c r="G1192" i="24" s="1"/>
  <c r="G1175" i="24"/>
  <c r="G1182" i="24" s="1"/>
  <c r="G1167" i="24"/>
  <c r="G1172" i="24" s="1"/>
  <c r="G1157" i="24"/>
  <c r="G1147" i="24"/>
  <c r="G78" i="26"/>
  <c r="G130" i="26" s="1"/>
  <c r="H1195" i="24"/>
  <c r="H1185" i="24"/>
  <c r="H1192" i="24" s="1"/>
  <c r="H1175" i="24"/>
  <c r="H1182" i="24" s="1"/>
  <c r="H1167" i="24"/>
  <c r="H1172" i="24" s="1"/>
  <c r="H1157" i="24"/>
  <c r="H1147" i="24"/>
  <c r="C79" i="26"/>
  <c r="C131" i="26" s="1"/>
  <c r="D1197" i="24"/>
  <c r="D1187" i="24"/>
  <c r="D1193" i="24" s="1"/>
  <c r="D1177" i="24"/>
  <c r="D1183" i="24" s="1"/>
  <c r="D1169" i="24"/>
  <c r="D1173" i="24" s="1"/>
  <c r="D1159" i="24"/>
  <c r="D1149" i="24"/>
  <c r="D1155" i="24" s="1"/>
  <c r="D79" i="26"/>
  <c r="D131" i="26" s="1"/>
  <c r="E1197" i="24"/>
  <c r="E1187" i="24"/>
  <c r="E1193" i="24" s="1"/>
  <c r="E1177" i="24"/>
  <c r="E1183" i="24" s="1"/>
  <c r="E1169" i="24"/>
  <c r="E1173" i="24" s="1"/>
  <c r="E1159" i="24"/>
  <c r="E1149" i="24"/>
  <c r="E1155" i="24" s="1"/>
  <c r="E79" i="26"/>
  <c r="E131" i="26" s="1"/>
  <c r="F1197" i="24"/>
  <c r="F1187" i="24"/>
  <c r="F1193" i="24" s="1"/>
  <c r="F1177" i="24"/>
  <c r="F1183" i="24" s="1"/>
  <c r="F1169" i="24"/>
  <c r="F1173" i="24" s="1"/>
  <c r="F1159" i="24"/>
  <c r="F1149" i="24"/>
  <c r="F1155" i="24" s="1"/>
  <c r="F79" i="26"/>
  <c r="F131" i="26" s="1"/>
  <c r="G1197" i="24"/>
  <c r="G1187" i="24"/>
  <c r="G1193" i="24" s="1"/>
  <c r="G1177" i="24"/>
  <c r="G1183" i="24" s="1"/>
  <c r="G1169" i="24"/>
  <c r="G1173" i="24" s="1"/>
  <c r="G1159" i="24"/>
  <c r="G1149" i="24"/>
  <c r="G1155" i="24" s="1"/>
  <c r="G79" i="26"/>
  <c r="G131" i="26" s="1"/>
  <c r="H1197" i="24"/>
  <c r="H1187" i="24"/>
  <c r="H1193" i="24" s="1"/>
  <c r="H1177" i="24"/>
  <c r="H1183" i="24" s="1"/>
  <c r="H1169" i="24"/>
  <c r="H1173" i="24" s="1"/>
  <c r="H1159" i="24"/>
  <c r="H1149" i="24"/>
  <c r="H1155" i="24" s="1"/>
  <c r="D1156" i="24"/>
  <c r="D1164" i="24" s="1"/>
  <c r="D1146" i="24"/>
  <c r="D1154" i="24" s="1"/>
  <c r="E1156" i="24"/>
  <c r="E1164" i="24" s="1"/>
  <c r="E1146" i="24"/>
  <c r="E1154" i="24" s="1"/>
  <c r="F1156" i="24"/>
  <c r="F1164" i="24" s="1"/>
  <c r="F1146" i="24"/>
  <c r="F1154" i="24" s="1"/>
  <c r="G1156" i="24"/>
  <c r="G1164" i="24" s="1"/>
  <c r="G1146" i="24"/>
  <c r="G1154" i="24" s="1"/>
  <c r="H1156" i="24"/>
  <c r="H1164" i="24" s="1"/>
  <c r="H1146" i="24"/>
  <c r="H1154" i="24" s="1"/>
  <c r="D1165" i="24"/>
  <c r="E1165" i="24"/>
  <c r="F1165" i="24"/>
  <c r="G1165" i="24"/>
  <c r="H1165" i="24"/>
  <c r="I1210" i="24"/>
  <c r="I1211" i="24"/>
  <c r="I1155" i="24"/>
  <c r="I1172" i="24"/>
  <c r="I1173" i="24"/>
  <c r="I1182" i="24"/>
  <c r="I1183" i="24"/>
  <c r="I1192" i="24"/>
  <c r="I1193" i="24"/>
  <c r="I1202" i="24"/>
  <c r="I1203" i="24"/>
  <c r="D1282" i="24"/>
  <c r="C52" i="26" s="1"/>
  <c r="D1231" i="24"/>
  <c r="E1282" i="24"/>
  <c r="D52" i="26" s="1"/>
  <c r="E1231" i="24"/>
  <c r="F1282" i="24"/>
  <c r="E52" i="26" s="1"/>
  <c r="F1231" i="24"/>
  <c r="G1282" i="24"/>
  <c r="F52" i="26" s="1"/>
  <c r="G1231" i="24"/>
  <c r="H1282" i="24"/>
  <c r="G52" i="26" s="1"/>
  <c r="H1231" i="24"/>
  <c r="I1282" i="24"/>
  <c r="H52" i="26" s="1"/>
  <c r="I1231" i="24"/>
  <c r="I1279" i="24"/>
  <c r="I1232" i="24"/>
  <c r="I1286" i="24" s="1"/>
  <c r="H85" i="26"/>
  <c r="H137" i="26" s="1"/>
  <c r="I2020" i="24"/>
  <c r="I2030" i="24" s="1"/>
  <c r="I2010" i="24"/>
  <c r="I2000" i="24"/>
  <c r="I1990" i="24"/>
  <c r="I1980" i="24"/>
  <c r="I1970" i="24"/>
  <c r="I2023" i="24"/>
  <c r="I2032" i="24" s="1"/>
  <c r="I2013" i="24"/>
  <c r="I2003" i="24"/>
  <c r="I1993" i="24"/>
  <c r="I1983" i="24"/>
  <c r="I1973" i="24"/>
  <c r="H83" i="26"/>
  <c r="H135" i="26" s="1"/>
  <c r="I1852" i="24"/>
  <c r="I1862" i="24" s="1"/>
  <c r="I1842" i="24"/>
  <c r="I1832" i="24"/>
  <c r="I1822" i="24"/>
  <c r="I1812" i="24"/>
  <c r="I1802" i="24"/>
  <c r="I1855" i="24"/>
  <c r="I1864" i="24" s="1"/>
  <c r="I1845" i="24"/>
  <c r="I1835" i="24"/>
  <c r="I1825" i="24"/>
  <c r="I1815" i="24"/>
  <c r="I1805" i="24"/>
  <c r="H84" i="26"/>
  <c r="H136" i="26" s="1"/>
  <c r="I1936" i="24"/>
  <c r="I1946" i="24" s="1"/>
  <c r="I1926" i="24"/>
  <c r="I1916" i="24"/>
  <c r="I1906" i="24"/>
  <c r="I1896" i="24"/>
  <c r="I1886" i="24"/>
  <c r="I1939" i="24"/>
  <c r="I1948" i="24" s="1"/>
  <c r="I1929" i="24"/>
  <c r="I1919" i="24"/>
  <c r="I1909" i="24"/>
  <c r="I1899" i="24"/>
  <c r="I1889" i="24"/>
  <c r="H86" i="26"/>
  <c r="H138" i="26" s="1"/>
  <c r="I2104" i="24"/>
  <c r="I2114" i="24" s="1"/>
  <c r="I2094" i="24"/>
  <c r="I2084" i="24"/>
  <c r="I2074" i="24"/>
  <c r="I2064" i="24"/>
  <c r="I2054" i="24"/>
  <c r="I2107" i="24"/>
  <c r="I2116" i="24" s="1"/>
  <c r="I2097" i="24"/>
  <c r="I2087" i="24"/>
  <c r="I2077" i="24"/>
  <c r="I2067" i="24"/>
  <c r="I2057" i="24"/>
  <c r="I1819" i="24"/>
  <c r="I1820" i="24"/>
  <c r="H87" i="26"/>
  <c r="H139" i="26" s="1"/>
  <c r="I2243" i="24"/>
  <c r="I2262" i="24" s="1"/>
  <c r="I2223" i="24"/>
  <c r="I2203" i="24"/>
  <c r="I2183" i="24"/>
  <c r="I2163" i="24"/>
  <c r="I2176" i="24" s="1"/>
  <c r="I2143" i="24"/>
  <c r="I2246" i="24"/>
  <c r="I2264" i="24" s="1"/>
  <c r="I2226" i="24"/>
  <c r="I2206" i="24"/>
  <c r="I2186" i="24"/>
  <c r="I2166" i="24"/>
  <c r="I2177" i="24" s="1"/>
  <c r="I2146" i="24"/>
  <c r="I2249" i="24"/>
  <c r="I2266" i="24" s="1"/>
  <c r="I2229" i="24"/>
  <c r="I2209" i="24"/>
  <c r="I2189" i="24"/>
  <c r="I2169" i="24"/>
  <c r="I2178" i="24" s="1"/>
  <c r="I2149" i="24"/>
  <c r="I2240" i="24"/>
  <c r="I2260" i="24" s="1"/>
  <c r="I2220" i="24"/>
  <c r="I2200" i="24"/>
  <c r="I2180" i="24"/>
  <c r="I2160" i="24"/>
  <c r="I2175" i="24" s="1"/>
  <c r="I2140" i="24"/>
  <c r="H82" i="26"/>
  <c r="H134" i="26" s="1"/>
  <c r="I1679" i="24"/>
  <c r="G82" i="26"/>
  <c r="G134" i="26" s="1"/>
  <c r="H1679" i="24"/>
  <c r="H1681" i="24" s="1"/>
  <c r="H2290" i="24" s="1"/>
  <c r="G69" i="25" s="1"/>
  <c r="F70" i="1" s="1"/>
  <c r="I1669" i="24"/>
  <c r="I1657" i="24"/>
  <c r="I1635" i="24"/>
  <c r="I1607" i="24"/>
  <c r="I1673" i="24"/>
  <c r="I1661" i="24"/>
  <c r="I1639" i="24"/>
  <c r="I1611" i="24"/>
  <c r="D82" i="26"/>
  <c r="D134" i="26" s="1"/>
  <c r="E1683" i="24"/>
  <c r="E1685" i="24" s="1"/>
  <c r="E1794" i="24" s="1"/>
  <c r="D69" i="25" s="1"/>
  <c r="C70" i="1" s="1"/>
  <c r="E82" i="26"/>
  <c r="E134" i="26" s="1"/>
  <c r="F1683" i="24"/>
  <c r="F1685" i="24" s="1"/>
  <c r="F1794" i="24" s="1"/>
  <c r="E69" i="25" s="1"/>
  <c r="D70" i="1" s="1"/>
  <c r="D1667" i="24"/>
  <c r="D1655" i="24"/>
  <c r="D1633" i="24"/>
  <c r="D1605" i="24"/>
  <c r="E1667" i="24"/>
  <c r="E1655" i="24"/>
  <c r="E1633" i="24"/>
  <c r="E1605" i="24"/>
  <c r="F1667" i="24"/>
  <c r="F1655" i="24"/>
  <c r="F1633" i="24"/>
  <c r="F1605" i="24"/>
  <c r="H1667" i="24"/>
  <c r="H1655" i="24"/>
  <c r="H1633" i="24"/>
  <c r="H1605" i="24"/>
  <c r="I1667" i="24"/>
  <c r="I1655" i="24"/>
  <c r="I1633" i="24"/>
  <c r="I1605" i="24"/>
  <c r="D1671" i="24"/>
  <c r="D1659" i="24"/>
  <c r="D1637" i="24"/>
  <c r="D1609" i="24"/>
  <c r="E1671" i="24"/>
  <c r="E1659" i="24"/>
  <c r="E1637" i="24"/>
  <c r="E1609" i="24"/>
  <c r="F1671" i="24"/>
  <c r="F1659" i="24"/>
  <c r="F1637" i="24"/>
  <c r="F1609" i="24"/>
  <c r="H1671" i="24"/>
  <c r="H1659" i="24"/>
  <c r="H1637" i="24"/>
  <c r="H1609" i="24"/>
  <c r="I1671" i="24"/>
  <c r="I1659" i="24"/>
  <c r="I1637" i="24"/>
  <c r="I1609" i="24"/>
  <c r="D1669" i="24"/>
  <c r="D1657" i="24"/>
  <c r="D1635" i="24"/>
  <c r="D1607" i="24"/>
  <c r="E1669" i="24"/>
  <c r="E1657" i="24"/>
  <c r="E1635" i="24"/>
  <c r="E1607" i="24"/>
  <c r="F1669" i="24"/>
  <c r="F1657" i="24"/>
  <c r="F1635" i="24"/>
  <c r="F1607" i="24"/>
  <c r="H1669" i="24"/>
  <c r="H1657" i="24"/>
  <c r="H1635" i="24"/>
  <c r="H1607" i="24"/>
  <c r="D1673" i="24"/>
  <c r="D1661" i="24"/>
  <c r="D1639" i="24"/>
  <c r="D1611" i="24"/>
  <c r="E1673" i="24"/>
  <c r="E1661" i="24"/>
  <c r="E1639" i="24"/>
  <c r="E1611" i="24"/>
  <c r="F1673" i="24"/>
  <c r="F1661" i="24"/>
  <c r="F1639" i="24"/>
  <c r="F1611" i="24"/>
  <c r="H1673" i="24"/>
  <c r="H1661" i="24"/>
  <c r="H1639" i="24"/>
  <c r="H1611" i="24"/>
  <c r="I1620" i="24"/>
  <c r="I1621" i="24"/>
  <c r="I1648" i="24"/>
  <c r="I1649" i="24"/>
  <c r="I1664" i="24"/>
  <c r="I1665" i="24"/>
  <c r="I1676" i="24"/>
  <c r="I1677" i="24"/>
  <c r="I1681" i="24"/>
  <c r="I1794" i="24" s="1"/>
  <c r="H69" i="25" s="1"/>
  <c r="G70" i="1" s="1"/>
  <c r="C83" i="26"/>
  <c r="C135" i="26" s="1"/>
  <c r="D1852" i="24"/>
  <c r="D1842" i="24"/>
  <c r="D1849" i="24" s="1"/>
  <c r="D1832" i="24"/>
  <c r="D1839" i="24" s="1"/>
  <c r="D1822" i="24"/>
  <c r="D1829" i="24" s="1"/>
  <c r="D1812" i="24"/>
  <c r="D1819" i="24" s="1"/>
  <c r="D1802" i="24"/>
  <c r="D1809" i="24" s="1"/>
  <c r="D83" i="26"/>
  <c r="D135" i="26" s="1"/>
  <c r="E1852" i="24"/>
  <c r="E1842" i="24"/>
  <c r="E1849" i="24" s="1"/>
  <c r="E1832" i="24"/>
  <c r="E1839" i="24" s="1"/>
  <c r="E1822" i="24"/>
  <c r="E1829" i="24" s="1"/>
  <c r="E1812" i="24"/>
  <c r="E1802" i="24"/>
  <c r="E1809" i="24" s="1"/>
  <c r="E83" i="26"/>
  <c r="E135" i="26" s="1"/>
  <c r="F1852" i="24"/>
  <c r="F1842" i="24"/>
  <c r="F1849" i="24" s="1"/>
  <c r="F1832" i="24"/>
  <c r="F1839" i="24" s="1"/>
  <c r="F1822" i="24"/>
  <c r="F1829" i="24" s="1"/>
  <c r="F1812" i="24"/>
  <c r="F1802" i="24"/>
  <c r="F1809" i="24" s="1"/>
  <c r="F83" i="26"/>
  <c r="F135" i="26" s="1"/>
  <c r="G1852" i="24"/>
  <c r="G1842" i="24"/>
  <c r="G1849" i="24" s="1"/>
  <c r="G1832" i="24"/>
  <c r="G1839" i="24" s="1"/>
  <c r="G1822" i="24"/>
  <c r="G1829" i="24" s="1"/>
  <c r="G1812" i="24"/>
  <c r="G1802" i="24"/>
  <c r="G1809" i="24" s="1"/>
  <c r="G83" i="26"/>
  <c r="G135" i="26" s="1"/>
  <c r="H1852" i="24"/>
  <c r="H1842" i="24"/>
  <c r="H1849" i="24" s="1"/>
  <c r="H1832" i="24"/>
  <c r="H1839" i="24" s="1"/>
  <c r="H1822" i="24"/>
  <c r="H1829" i="24" s="1"/>
  <c r="H1812" i="24"/>
  <c r="H1802" i="24"/>
  <c r="H1809" i="24" s="1"/>
  <c r="D1855" i="24"/>
  <c r="D1845" i="24"/>
  <c r="D1850" i="24" s="1"/>
  <c r="D1835" i="24"/>
  <c r="D1840" i="24" s="1"/>
  <c r="D1825" i="24"/>
  <c r="D1830" i="24" s="1"/>
  <c r="D1815" i="24"/>
  <c r="D1820" i="24" s="1"/>
  <c r="D1805" i="24"/>
  <c r="D1810" i="24" s="1"/>
  <c r="E1855" i="24"/>
  <c r="E1845" i="24"/>
  <c r="E1850" i="24" s="1"/>
  <c r="E1835" i="24"/>
  <c r="E1840" i="24" s="1"/>
  <c r="E1825" i="24"/>
  <c r="E1830" i="24" s="1"/>
  <c r="E1815" i="24"/>
  <c r="E1805" i="24"/>
  <c r="E1810" i="24" s="1"/>
  <c r="F1855" i="24"/>
  <c r="F1845" i="24"/>
  <c r="F1850" i="24" s="1"/>
  <c r="F1835" i="24"/>
  <c r="F1840" i="24" s="1"/>
  <c r="F1825" i="24"/>
  <c r="F1830" i="24" s="1"/>
  <c r="F1815" i="24"/>
  <c r="F1805" i="24"/>
  <c r="F1810" i="24" s="1"/>
  <c r="G1855" i="24"/>
  <c r="G1845" i="24"/>
  <c r="G1850" i="24" s="1"/>
  <c r="G1835" i="24"/>
  <c r="G1840" i="24" s="1"/>
  <c r="G1825" i="24"/>
  <c r="G1830" i="24" s="1"/>
  <c r="G1815" i="24"/>
  <c r="G1805" i="24"/>
  <c r="G1810" i="24" s="1"/>
  <c r="H1855" i="24"/>
  <c r="H1845" i="24"/>
  <c r="H1850" i="24" s="1"/>
  <c r="H1835" i="24"/>
  <c r="H1840" i="24" s="1"/>
  <c r="H1825" i="24"/>
  <c r="H1830" i="24" s="1"/>
  <c r="H1815" i="24"/>
  <c r="H1805" i="24"/>
  <c r="H1810" i="24" s="1"/>
  <c r="E1819" i="24"/>
  <c r="F1819" i="24"/>
  <c r="G1819" i="24"/>
  <c r="H1819" i="24"/>
  <c r="E1820" i="24"/>
  <c r="F1820" i="24"/>
  <c r="G1820" i="24"/>
  <c r="H1820" i="24"/>
  <c r="D1863" i="24"/>
  <c r="D1861" i="24"/>
  <c r="E1863" i="24"/>
  <c r="E1861" i="24"/>
  <c r="F1863" i="24"/>
  <c r="F1861" i="24"/>
  <c r="G1863" i="24"/>
  <c r="G1861" i="24"/>
  <c r="H1863" i="24"/>
  <c r="H1861" i="24"/>
  <c r="I1863" i="24"/>
  <c r="I1868" i="24" s="1"/>
  <c r="I1861" i="24"/>
  <c r="I1867" i="24" s="1"/>
  <c r="I1876" i="24" s="1"/>
  <c r="H78" i="25" s="1"/>
  <c r="G90" i="1" s="1"/>
  <c r="I1809" i="24"/>
  <c r="I1810" i="24"/>
  <c r="I1829" i="24"/>
  <c r="I1830" i="24"/>
  <c r="I1839" i="24"/>
  <c r="I1840" i="24"/>
  <c r="I1849" i="24"/>
  <c r="I1850" i="24"/>
  <c r="I1859" i="24"/>
  <c r="I1860" i="24"/>
  <c r="I1895" i="24"/>
  <c r="I1903" i="24" s="1"/>
  <c r="I1898" i="24"/>
  <c r="I1904" i="24" s="1"/>
  <c r="C84" i="26"/>
  <c r="C136" i="26" s="1"/>
  <c r="D1936" i="24"/>
  <c r="D1926" i="24"/>
  <c r="D1933" i="24" s="1"/>
  <c r="D1916" i="24"/>
  <c r="D1923" i="24" s="1"/>
  <c r="D1906" i="24"/>
  <c r="D1913" i="24" s="1"/>
  <c r="D1896" i="24"/>
  <c r="D1903" i="24" s="1"/>
  <c r="D1886" i="24"/>
  <c r="D1893" i="24" s="1"/>
  <c r="D84" i="26"/>
  <c r="D136" i="26" s="1"/>
  <c r="E1936" i="24"/>
  <c r="E1926" i="24"/>
  <c r="E1933" i="24" s="1"/>
  <c r="E1916" i="24"/>
  <c r="E1923" i="24" s="1"/>
  <c r="E1906" i="24"/>
  <c r="E1913" i="24" s="1"/>
  <c r="E1896" i="24"/>
  <c r="E1886" i="24"/>
  <c r="E1893" i="24" s="1"/>
  <c r="E84" i="26"/>
  <c r="E136" i="26" s="1"/>
  <c r="F1936" i="24"/>
  <c r="F1926" i="24"/>
  <c r="F1933" i="24" s="1"/>
  <c r="F1916" i="24"/>
  <c r="F1923" i="24" s="1"/>
  <c r="F1906" i="24"/>
  <c r="F1913" i="24" s="1"/>
  <c r="F1896" i="24"/>
  <c r="F1886" i="24"/>
  <c r="F1893" i="24" s="1"/>
  <c r="F84" i="26"/>
  <c r="F136" i="26" s="1"/>
  <c r="G1936" i="24"/>
  <c r="G1926" i="24"/>
  <c r="G1933" i="24" s="1"/>
  <c r="G1916" i="24"/>
  <c r="G1923" i="24" s="1"/>
  <c r="G1906" i="24"/>
  <c r="G1913" i="24" s="1"/>
  <c r="G1896" i="24"/>
  <c r="G1886" i="24"/>
  <c r="G1893" i="24" s="1"/>
  <c r="G84" i="26"/>
  <c r="G136" i="26" s="1"/>
  <c r="H1936" i="24"/>
  <c r="H1926" i="24"/>
  <c r="H1933" i="24" s="1"/>
  <c r="H1916" i="24"/>
  <c r="H1923" i="24" s="1"/>
  <c r="H1906" i="24"/>
  <c r="H1913" i="24" s="1"/>
  <c r="H1896" i="24"/>
  <c r="H1886" i="24"/>
  <c r="H1893" i="24" s="1"/>
  <c r="D1939" i="24"/>
  <c r="D1929" i="24"/>
  <c r="D1934" i="24" s="1"/>
  <c r="D1919" i="24"/>
  <c r="D1924" i="24" s="1"/>
  <c r="D1909" i="24"/>
  <c r="D1914" i="24" s="1"/>
  <c r="D1899" i="24"/>
  <c r="D1904" i="24" s="1"/>
  <c r="D1889" i="24"/>
  <c r="D1894" i="24" s="1"/>
  <c r="E1939" i="24"/>
  <c r="E1929" i="24"/>
  <c r="E1934" i="24" s="1"/>
  <c r="E1919" i="24"/>
  <c r="E1924" i="24" s="1"/>
  <c r="E1909" i="24"/>
  <c r="E1914" i="24" s="1"/>
  <c r="E1899" i="24"/>
  <c r="E1889" i="24"/>
  <c r="E1894" i="24" s="1"/>
  <c r="F1939" i="24"/>
  <c r="F1929" i="24"/>
  <c r="F1934" i="24" s="1"/>
  <c r="F1919" i="24"/>
  <c r="F1924" i="24" s="1"/>
  <c r="F1909" i="24"/>
  <c r="F1914" i="24" s="1"/>
  <c r="F1899" i="24"/>
  <c r="F1889" i="24"/>
  <c r="F1894" i="24" s="1"/>
  <c r="G1939" i="24"/>
  <c r="G1929" i="24"/>
  <c r="G1934" i="24" s="1"/>
  <c r="G1919" i="24"/>
  <c r="G1924" i="24" s="1"/>
  <c r="G1909" i="24"/>
  <c r="G1914" i="24" s="1"/>
  <c r="G1899" i="24"/>
  <c r="G1889" i="24"/>
  <c r="G1894" i="24" s="1"/>
  <c r="H1939" i="24"/>
  <c r="H1929" i="24"/>
  <c r="H1934" i="24" s="1"/>
  <c r="H1919" i="24"/>
  <c r="H1924" i="24" s="1"/>
  <c r="H1909" i="24"/>
  <c r="H1914" i="24" s="1"/>
  <c r="H1899" i="24"/>
  <c r="H1889" i="24"/>
  <c r="H1894" i="24" s="1"/>
  <c r="E1903" i="24"/>
  <c r="F1903" i="24"/>
  <c r="G1903" i="24"/>
  <c r="H1903" i="24"/>
  <c r="E1904" i="24"/>
  <c r="F1904" i="24"/>
  <c r="G1904" i="24"/>
  <c r="H1904" i="24"/>
  <c r="D1947" i="24"/>
  <c r="D1945" i="24"/>
  <c r="E1947" i="24"/>
  <c r="E1945" i="24"/>
  <c r="F1947" i="24"/>
  <c r="F1945" i="24"/>
  <c r="G1947" i="24"/>
  <c r="G1945" i="24"/>
  <c r="H1947" i="24"/>
  <c r="H1945" i="24"/>
  <c r="I1947" i="24"/>
  <c r="I1952" i="24" s="1"/>
  <c r="I1945" i="24"/>
  <c r="I1951" i="24" s="1"/>
  <c r="I1960" i="24" s="1"/>
  <c r="H87" i="25" s="1"/>
  <c r="G120" i="1" s="1"/>
  <c r="I1893" i="24"/>
  <c r="I1894" i="24"/>
  <c r="I1913" i="24"/>
  <c r="I1914" i="24"/>
  <c r="I1923" i="24"/>
  <c r="I1924" i="24"/>
  <c r="I1933" i="24"/>
  <c r="I1934" i="24"/>
  <c r="I1943" i="24"/>
  <c r="I1944" i="24"/>
  <c r="I1979" i="24"/>
  <c r="I1987" i="24" s="1"/>
  <c r="I1982" i="24"/>
  <c r="I1988" i="24" s="1"/>
  <c r="C85" i="26"/>
  <c r="C137" i="26" s="1"/>
  <c r="D2020" i="24"/>
  <c r="D2010" i="24"/>
  <c r="D2017" i="24" s="1"/>
  <c r="D2000" i="24"/>
  <c r="D2007" i="24" s="1"/>
  <c r="D1990" i="24"/>
  <c r="D1997" i="24" s="1"/>
  <c r="D1980" i="24"/>
  <c r="D1987" i="24" s="1"/>
  <c r="D1970" i="24"/>
  <c r="D1977" i="24" s="1"/>
  <c r="D85" i="26"/>
  <c r="D137" i="26" s="1"/>
  <c r="E2020" i="24"/>
  <c r="E2010" i="24"/>
  <c r="E2017" i="24" s="1"/>
  <c r="E2000" i="24"/>
  <c r="E2007" i="24" s="1"/>
  <c r="E1990" i="24"/>
  <c r="E1997" i="24" s="1"/>
  <c r="E1980" i="24"/>
  <c r="E1970" i="24"/>
  <c r="E1977" i="24" s="1"/>
  <c r="E85" i="26"/>
  <c r="E137" i="26" s="1"/>
  <c r="F2020" i="24"/>
  <c r="F2010" i="24"/>
  <c r="F2017" i="24" s="1"/>
  <c r="F2000" i="24"/>
  <c r="F2007" i="24" s="1"/>
  <c r="F1990" i="24"/>
  <c r="F1997" i="24" s="1"/>
  <c r="F1980" i="24"/>
  <c r="F1970" i="24"/>
  <c r="F1977" i="24" s="1"/>
  <c r="F85" i="26"/>
  <c r="F137" i="26" s="1"/>
  <c r="G2020" i="24"/>
  <c r="G2010" i="24"/>
  <c r="G2017" i="24" s="1"/>
  <c r="G2000" i="24"/>
  <c r="G2007" i="24" s="1"/>
  <c r="G1990" i="24"/>
  <c r="G1997" i="24" s="1"/>
  <c r="G1980" i="24"/>
  <c r="G1970" i="24"/>
  <c r="G1977" i="24" s="1"/>
  <c r="G85" i="26"/>
  <c r="G137" i="26" s="1"/>
  <c r="H2020" i="24"/>
  <c r="H2010" i="24"/>
  <c r="H2017" i="24" s="1"/>
  <c r="H2000" i="24"/>
  <c r="H2007" i="24" s="1"/>
  <c r="H1990" i="24"/>
  <c r="H1997" i="24" s="1"/>
  <c r="H1980" i="24"/>
  <c r="H1970" i="24"/>
  <c r="H1977" i="24" s="1"/>
  <c r="D2023" i="24"/>
  <c r="D2013" i="24"/>
  <c r="D2018" i="24" s="1"/>
  <c r="D2003" i="24"/>
  <c r="D2008" i="24" s="1"/>
  <c r="D1993" i="24"/>
  <c r="D1998" i="24" s="1"/>
  <c r="D1983" i="24"/>
  <c r="D1988" i="24" s="1"/>
  <c r="D1973" i="24"/>
  <c r="D1978" i="24" s="1"/>
  <c r="E2023" i="24"/>
  <c r="E2013" i="24"/>
  <c r="E2018" i="24" s="1"/>
  <c r="E2003" i="24"/>
  <c r="E2008" i="24" s="1"/>
  <c r="E1993" i="24"/>
  <c r="E1998" i="24" s="1"/>
  <c r="E1983" i="24"/>
  <c r="E1973" i="24"/>
  <c r="E1978" i="24" s="1"/>
  <c r="F2023" i="24"/>
  <c r="F2013" i="24"/>
  <c r="F2018" i="24" s="1"/>
  <c r="F2003" i="24"/>
  <c r="F2008" i="24" s="1"/>
  <c r="F1993" i="24"/>
  <c r="F1998" i="24" s="1"/>
  <c r="F1983" i="24"/>
  <c r="F1973" i="24"/>
  <c r="F1978" i="24" s="1"/>
  <c r="G2023" i="24"/>
  <c r="G2013" i="24"/>
  <c r="G2018" i="24" s="1"/>
  <c r="G2003" i="24"/>
  <c r="G2008" i="24" s="1"/>
  <c r="G1993" i="24"/>
  <c r="G1998" i="24" s="1"/>
  <c r="G1983" i="24"/>
  <c r="G1973" i="24"/>
  <c r="G1978" i="24" s="1"/>
  <c r="H2023" i="24"/>
  <c r="H2013" i="24"/>
  <c r="H2018" i="24" s="1"/>
  <c r="H2003" i="24"/>
  <c r="H2008" i="24" s="1"/>
  <c r="H1993" i="24"/>
  <c r="H1998" i="24" s="1"/>
  <c r="H1983" i="24"/>
  <c r="H1973" i="24"/>
  <c r="H1978" i="24" s="1"/>
  <c r="E1987" i="24"/>
  <c r="F1987" i="24"/>
  <c r="G1987" i="24"/>
  <c r="H1987" i="24"/>
  <c r="E1988" i="24"/>
  <c r="F1988" i="24"/>
  <c r="G1988" i="24"/>
  <c r="H1988" i="24"/>
  <c r="D2031" i="24"/>
  <c r="D2029" i="24"/>
  <c r="E2031" i="24"/>
  <c r="E2029" i="24"/>
  <c r="F2031" i="24"/>
  <c r="F2029" i="24"/>
  <c r="G2031" i="24"/>
  <c r="G2029" i="24"/>
  <c r="H2031" i="24"/>
  <c r="H2029" i="24"/>
  <c r="I2031" i="24"/>
  <c r="I2036" i="24" s="1"/>
  <c r="I2029" i="24"/>
  <c r="I2035" i="24" s="1"/>
  <c r="I2044" i="24" s="1"/>
  <c r="H96" i="25" s="1"/>
  <c r="G110" i="1" s="1"/>
  <c r="I1977" i="24"/>
  <c r="I1978" i="24"/>
  <c r="I1997" i="24"/>
  <c r="I1998" i="24"/>
  <c r="I2007" i="24"/>
  <c r="I2008" i="24"/>
  <c r="I2017" i="24"/>
  <c r="I2018" i="24"/>
  <c r="I2027" i="24"/>
  <c r="I2028" i="24"/>
  <c r="I2063" i="24"/>
  <c r="I2071" i="24" s="1"/>
  <c r="I2066" i="24"/>
  <c r="I2072" i="24" s="1"/>
  <c r="C86" i="26"/>
  <c r="C138" i="26" s="1"/>
  <c r="D2104" i="24"/>
  <c r="D2094" i="24"/>
  <c r="D2101" i="24" s="1"/>
  <c r="D2084" i="24"/>
  <c r="D2091" i="24" s="1"/>
  <c r="D2074" i="24"/>
  <c r="D2081" i="24" s="1"/>
  <c r="D2064" i="24"/>
  <c r="D2071" i="24" s="1"/>
  <c r="D2054" i="24"/>
  <c r="D2061" i="24" s="1"/>
  <c r="D86" i="26"/>
  <c r="D138" i="26" s="1"/>
  <c r="E2104" i="24"/>
  <c r="E2094" i="24"/>
  <c r="E2101" i="24" s="1"/>
  <c r="E2084" i="24"/>
  <c r="E2091" i="24" s="1"/>
  <c r="E2074" i="24"/>
  <c r="E2081" i="24" s="1"/>
  <c r="E2064" i="24"/>
  <c r="E2054" i="24"/>
  <c r="E2061" i="24" s="1"/>
  <c r="E86" i="26"/>
  <c r="E138" i="26" s="1"/>
  <c r="F2104" i="24"/>
  <c r="F2094" i="24"/>
  <c r="F2101" i="24" s="1"/>
  <c r="F2084" i="24"/>
  <c r="F2091" i="24" s="1"/>
  <c r="F2074" i="24"/>
  <c r="F2081" i="24" s="1"/>
  <c r="F2064" i="24"/>
  <c r="F2054" i="24"/>
  <c r="F2061" i="24" s="1"/>
  <c r="F86" i="26"/>
  <c r="F138" i="26" s="1"/>
  <c r="G2104" i="24"/>
  <c r="G2094" i="24"/>
  <c r="G2101" i="24" s="1"/>
  <c r="G2084" i="24"/>
  <c r="G2091" i="24" s="1"/>
  <c r="G2074" i="24"/>
  <c r="G2081" i="24" s="1"/>
  <c r="G2064" i="24"/>
  <c r="G2054" i="24"/>
  <c r="G2061" i="24" s="1"/>
  <c r="G86" i="26"/>
  <c r="G138" i="26" s="1"/>
  <c r="H2104" i="24"/>
  <c r="H2094" i="24"/>
  <c r="H2101" i="24" s="1"/>
  <c r="H2084" i="24"/>
  <c r="H2091" i="24" s="1"/>
  <c r="H2074" i="24"/>
  <c r="H2081" i="24" s="1"/>
  <c r="H2064" i="24"/>
  <c r="H2054" i="24"/>
  <c r="H2061" i="24" s="1"/>
  <c r="D2107" i="24"/>
  <c r="D2097" i="24"/>
  <c r="D2102" i="24" s="1"/>
  <c r="D2087" i="24"/>
  <c r="D2092" i="24" s="1"/>
  <c r="D2077" i="24"/>
  <c r="D2082" i="24" s="1"/>
  <c r="D2067" i="24"/>
  <c r="D2072" i="24" s="1"/>
  <c r="D2057" i="24"/>
  <c r="D2062" i="24" s="1"/>
  <c r="E2107" i="24"/>
  <c r="E2097" i="24"/>
  <c r="E2102" i="24" s="1"/>
  <c r="E2087" i="24"/>
  <c r="E2092" i="24" s="1"/>
  <c r="E2077" i="24"/>
  <c r="E2082" i="24" s="1"/>
  <c r="E2067" i="24"/>
  <c r="E2057" i="24"/>
  <c r="E2062" i="24" s="1"/>
  <c r="F2107" i="24"/>
  <c r="F2097" i="24"/>
  <c r="F2102" i="24" s="1"/>
  <c r="F2087" i="24"/>
  <c r="F2092" i="24" s="1"/>
  <c r="F2077" i="24"/>
  <c r="F2082" i="24" s="1"/>
  <c r="F2067" i="24"/>
  <c r="F2057" i="24"/>
  <c r="F2062" i="24" s="1"/>
  <c r="G2107" i="24"/>
  <c r="G2097" i="24"/>
  <c r="G2102" i="24" s="1"/>
  <c r="G2087" i="24"/>
  <c r="G2092" i="24" s="1"/>
  <c r="G2077" i="24"/>
  <c r="G2082" i="24" s="1"/>
  <c r="G2067" i="24"/>
  <c r="G2057" i="24"/>
  <c r="G2062" i="24" s="1"/>
  <c r="H2107" i="24"/>
  <c r="H2097" i="24"/>
  <c r="H2102" i="24" s="1"/>
  <c r="H2087" i="24"/>
  <c r="H2092" i="24" s="1"/>
  <c r="H2077" i="24"/>
  <c r="H2082" i="24" s="1"/>
  <c r="H2067" i="24"/>
  <c r="H2057" i="24"/>
  <c r="H2062" i="24" s="1"/>
  <c r="E2071" i="24"/>
  <c r="F2071" i="24"/>
  <c r="G2071" i="24"/>
  <c r="H2071" i="24"/>
  <c r="E2072" i="24"/>
  <c r="F2072" i="24"/>
  <c r="G2072" i="24"/>
  <c r="H2072" i="24"/>
  <c r="D2115" i="24"/>
  <c r="D2113" i="24"/>
  <c r="E2115" i="24"/>
  <c r="E2113" i="24"/>
  <c r="F2115" i="24"/>
  <c r="F2113" i="24"/>
  <c r="G2115" i="24"/>
  <c r="G2113" i="24"/>
  <c r="H2115" i="24"/>
  <c r="H2113" i="24"/>
  <c r="I2115" i="24"/>
  <c r="I2120" i="24" s="1"/>
  <c r="I2113" i="24"/>
  <c r="I2119" i="24" s="1"/>
  <c r="I2128" i="24" s="1"/>
  <c r="H105" i="25" s="1"/>
  <c r="G100" i="1" s="1"/>
  <c r="I2061" i="24"/>
  <c r="I2062" i="24"/>
  <c r="I2081" i="24"/>
  <c r="I2082" i="24"/>
  <c r="I2091" i="24"/>
  <c r="I2092" i="24"/>
  <c r="I2101" i="24"/>
  <c r="I2102" i="24"/>
  <c r="I2111" i="24"/>
  <c r="I2112" i="24"/>
  <c r="D2240" i="24"/>
  <c r="D2220" i="24"/>
  <c r="D2235" i="24" s="1"/>
  <c r="D2200" i="24"/>
  <c r="D2215" i="24" s="1"/>
  <c r="D2180" i="24"/>
  <c r="D2160" i="24"/>
  <c r="D2175" i="24" s="1"/>
  <c r="D2140" i="24"/>
  <c r="D2155" i="24" s="1"/>
  <c r="E2240" i="24"/>
  <c r="E2220" i="24"/>
  <c r="E2235" i="24" s="1"/>
  <c r="E2200" i="24"/>
  <c r="E2215" i="24" s="1"/>
  <c r="E2180" i="24"/>
  <c r="E2160" i="24"/>
  <c r="E2140" i="24"/>
  <c r="E2155" i="24" s="1"/>
  <c r="F2240" i="24"/>
  <c r="F2220" i="24"/>
  <c r="F2235" i="24" s="1"/>
  <c r="F2200" i="24"/>
  <c r="F2215" i="24" s="1"/>
  <c r="F2180" i="24"/>
  <c r="F2160" i="24"/>
  <c r="F2140" i="24"/>
  <c r="F2155" i="24" s="1"/>
  <c r="G2240" i="24"/>
  <c r="G2220" i="24"/>
  <c r="G2235" i="24" s="1"/>
  <c r="G2200" i="24"/>
  <c r="G2215" i="24" s="1"/>
  <c r="G2180" i="24"/>
  <c r="G2160" i="24"/>
  <c r="G2140" i="24"/>
  <c r="G2155" i="24" s="1"/>
  <c r="H2240" i="24"/>
  <c r="H2220" i="24"/>
  <c r="H2235" i="24" s="1"/>
  <c r="H2200" i="24"/>
  <c r="H2215" i="24" s="1"/>
  <c r="H2180" i="24"/>
  <c r="H2160" i="24"/>
  <c r="H2140" i="24"/>
  <c r="H2155" i="24" s="1"/>
  <c r="C87" i="26"/>
  <c r="C139" i="26" s="1"/>
  <c r="D2243" i="24"/>
  <c r="D2223" i="24"/>
  <c r="D2236" i="24" s="1"/>
  <c r="D2203" i="24"/>
  <c r="D2216" i="24" s="1"/>
  <c r="D2183" i="24"/>
  <c r="D2163" i="24"/>
  <c r="D2176" i="24" s="1"/>
  <c r="D2143" i="24"/>
  <c r="D2156" i="24" s="1"/>
  <c r="D87" i="26"/>
  <c r="D139" i="26" s="1"/>
  <c r="E2243" i="24"/>
  <c r="E2223" i="24"/>
  <c r="E2236" i="24" s="1"/>
  <c r="E2203" i="24"/>
  <c r="E2216" i="24" s="1"/>
  <c r="E2183" i="24"/>
  <c r="E2163" i="24"/>
  <c r="E2143" i="24"/>
  <c r="E2156" i="24" s="1"/>
  <c r="E87" i="26"/>
  <c r="E139" i="26" s="1"/>
  <c r="F2243" i="24"/>
  <c r="F2223" i="24"/>
  <c r="F2236" i="24" s="1"/>
  <c r="F2203" i="24"/>
  <c r="F2216" i="24" s="1"/>
  <c r="F2183" i="24"/>
  <c r="F2163" i="24"/>
  <c r="F2143" i="24"/>
  <c r="F2156" i="24" s="1"/>
  <c r="F87" i="26"/>
  <c r="F139" i="26" s="1"/>
  <c r="G2243" i="24"/>
  <c r="G2223" i="24"/>
  <c r="G2236" i="24" s="1"/>
  <c r="G2203" i="24"/>
  <c r="G2216" i="24" s="1"/>
  <c r="G2183" i="24"/>
  <c r="G2163" i="24"/>
  <c r="G2143" i="24"/>
  <c r="G2156" i="24" s="1"/>
  <c r="G87" i="26"/>
  <c r="G139" i="26" s="1"/>
  <c r="H2243" i="24"/>
  <c r="H2223" i="24"/>
  <c r="H2236" i="24" s="1"/>
  <c r="H2203" i="24"/>
  <c r="H2216" i="24" s="1"/>
  <c r="H2183" i="24"/>
  <c r="H2163" i="24"/>
  <c r="H2143" i="24"/>
  <c r="H2156" i="24" s="1"/>
  <c r="D2246" i="24"/>
  <c r="D2226" i="24"/>
  <c r="D2237" i="24" s="1"/>
  <c r="D2206" i="24"/>
  <c r="D2217" i="24" s="1"/>
  <c r="D2186" i="24"/>
  <c r="D2166" i="24"/>
  <c r="D2177" i="24" s="1"/>
  <c r="D2146" i="24"/>
  <c r="D2157" i="24" s="1"/>
  <c r="E2246" i="24"/>
  <c r="E2226" i="24"/>
  <c r="E2237" i="24" s="1"/>
  <c r="E2206" i="24"/>
  <c r="E2217" i="24" s="1"/>
  <c r="E2186" i="24"/>
  <c r="E2166" i="24"/>
  <c r="E2146" i="24"/>
  <c r="E2157" i="24" s="1"/>
  <c r="F2246" i="24"/>
  <c r="F2226" i="24"/>
  <c r="F2237" i="24" s="1"/>
  <c r="F2206" i="24"/>
  <c r="F2217" i="24" s="1"/>
  <c r="F2186" i="24"/>
  <c r="F2166" i="24"/>
  <c r="F2146" i="24"/>
  <c r="F2157" i="24" s="1"/>
  <c r="G2246" i="24"/>
  <c r="G2226" i="24"/>
  <c r="G2237" i="24" s="1"/>
  <c r="G2206" i="24"/>
  <c r="G2217" i="24" s="1"/>
  <c r="G2186" i="24"/>
  <c r="G2166" i="24"/>
  <c r="G2146" i="24"/>
  <c r="G2157" i="24" s="1"/>
  <c r="H2246" i="24"/>
  <c r="H2226" i="24"/>
  <c r="H2237" i="24" s="1"/>
  <c r="H2206" i="24"/>
  <c r="H2217" i="24" s="1"/>
  <c r="H2186" i="24"/>
  <c r="H2166" i="24"/>
  <c r="H2146" i="24"/>
  <c r="H2157" i="24" s="1"/>
  <c r="D2249" i="24"/>
  <c r="D2229" i="24"/>
  <c r="D2238" i="24" s="1"/>
  <c r="D2209" i="24"/>
  <c r="D2218" i="24" s="1"/>
  <c r="D2189" i="24"/>
  <c r="D2169" i="24"/>
  <c r="D2178" i="24" s="1"/>
  <c r="D2149" i="24"/>
  <c r="D2158" i="24" s="1"/>
  <c r="E2249" i="24"/>
  <c r="E2229" i="24"/>
  <c r="E2238" i="24" s="1"/>
  <c r="E2209" i="24"/>
  <c r="E2218" i="24" s="1"/>
  <c r="E2189" i="24"/>
  <c r="E2169" i="24"/>
  <c r="E2149" i="24"/>
  <c r="E2158" i="24" s="1"/>
  <c r="F2249" i="24"/>
  <c r="F2229" i="24"/>
  <c r="F2238" i="24" s="1"/>
  <c r="F2209" i="24"/>
  <c r="F2218" i="24" s="1"/>
  <c r="F2189" i="24"/>
  <c r="F2169" i="24"/>
  <c r="F2149" i="24"/>
  <c r="F2158" i="24" s="1"/>
  <c r="G2249" i="24"/>
  <c r="G2229" i="24"/>
  <c r="G2238" i="24" s="1"/>
  <c r="G2209" i="24"/>
  <c r="G2218" i="24" s="1"/>
  <c r="G2189" i="24"/>
  <c r="G2169" i="24"/>
  <c r="G2149" i="24"/>
  <c r="G2158" i="24" s="1"/>
  <c r="H2249" i="24"/>
  <c r="H2229" i="24"/>
  <c r="H2238" i="24" s="1"/>
  <c r="H2209" i="24"/>
  <c r="H2218" i="24" s="1"/>
  <c r="H2189" i="24"/>
  <c r="H2169" i="24"/>
  <c r="H2149" i="24"/>
  <c r="H2158" i="24" s="1"/>
  <c r="E2175" i="24"/>
  <c r="F2175" i="24"/>
  <c r="G2175" i="24"/>
  <c r="H2175" i="24"/>
  <c r="D2265" i="24"/>
  <c r="D2263" i="24"/>
  <c r="D2261" i="24"/>
  <c r="D2259" i="24"/>
  <c r="E2265" i="24"/>
  <c r="E2263" i="24"/>
  <c r="E2261" i="24"/>
  <c r="E2259" i="24"/>
  <c r="F2265" i="24"/>
  <c r="F2263" i="24"/>
  <c r="F2261" i="24"/>
  <c r="F2259" i="24"/>
  <c r="G2265" i="24"/>
  <c r="G2263" i="24"/>
  <c r="G2261" i="24"/>
  <c r="G2259" i="24"/>
  <c r="H2265" i="24"/>
  <c r="H2263" i="24"/>
  <c r="H2261" i="24"/>
  <c r="H2259" i="24"/>
  <c r="I2265" i="24"/>
  <c r="I2274" i="24" s="1"/>
  <c r="I2263" i="24"/>
  <c r="I2273" i="24" s="1"/>
  <c r="I2261" i="24"/>
  <c r="I2272" i="24" s="1"/>
  <c r="I2259" i="24"/>
  <c r="I2271" i="24" s="1"/>
  <c r="E2176" i="24"/>
  <c r="F2176" i="24"/>
  <c r="G2176" i="24"/>
  <c r="H2176" i="24"/>
  <c r="E2177" i="24"/>
  <c r="F2177" i="24"/>
  <c r="G2177" i="24"/>
  <c r="H2177" i="24"/>
  <c r="E2178" i="24"/>
  <c r="F2178" i="24"/>
  <c r="G2178" i="24"/>
  <c r="H2178" i="24"/>
  <c r="I2155" i="24"/>
  <c r="I2156" i="24"/>
  <c r="I2157" i="24"/>
  <c r="I2158" i="24"/>
  <c r="D2195" i="24"/>
  <c r="E2195" i="24"/>
  <c r="F2195" i="24"/>
  <c r="G2195" i="24"/>
  <c r="H2195" i="24"/>
  <c r="I2195" i="24"/>
  <c r="D2196" i="24"/>
  <c r="E2196" i="24"/>
  <c r="F2196" i="24"/>
  <c r="G2196" i="24"/>
  <c r="H2196" i="24"/>
  <c r="I2196" i="24"/>
  <c r="D2197" i="24"/>
  <c r="E2197" i="24"/>
  <c r="F2197" i="24"/>
  <c r="G2197" i="24"/>
  <c r="H2197" i="24"/>
  <c r="I2197" i="24"/>
  <c r="D2198" i="24"/>
  <c r="E2198" i="24"/>
  <c r="F2198" i="24"/>
  <c r="G2198" i="24"/>
  <c r="H2198" i="24"/>
  <c r="I2198" i="24"/>
  <c r="I2215" i="24"/>
  <c r="I2216" i="24"/>
  <c r="I2217" i="24"/>
  <c r="I2218" i="24"/>
  <c r="I2235" i="24"/>
  <c r="I2236" i="24"/>
  <c r="I2237" i="24"/>
  <c r="I2238" i="24"/>
  <c r="I2255" i="24"/>
  <c r="I2256" i="24"/>
  <c r="I2257" i="24"/>
  <c r="I2258" i="24"/>
  <c r="F82" i="26"/>
  <c r="F134" i="26" s="1"/>
  <c r="G2399" i="24"/>
  <c r="G2401" i="24" s="1"/>
  <c r="G2290" i="24" s="1"/>
  <c r="F69" i="25" s="1"/>
  <c r="E70" i="1" s="1"/>
  <c r="G2387" i="24"/>
  <c r="G2375" i="24"/>
  <c r="G2353" i="24"/>
  <c r="G2325" i="24"/>
  <c r="G2391" i="24"/>
  <c r="G2379" i="24"/>
  <c r="G2357" i="24"/>
  <c r="G2329" i="24"/>
  <c r="G2389" i="24"/>
  <c r="G2377" i="24"/>
  <c r="G2355" i="24"/>
  <c r="G2327" i="24"/>
  <c r="G2393" i="24"/>
  <c r="G2381" i="24"/>
  <c r="G2359" i="24"/>
  <c r="G2331" i="24"/>
  <c r="C82" i="26"/>
  <c r="C134" i="26" s="1"/>
  <c r="D2405" i="24"/>
  <c r="D2407" i="24" s="1"/>
  <c r="D2409" i="24"/>
  <c r="D1794" i="24" s="1"/>
  <c r="C69" i="25" s="1"/>
  <c r="I69" i="25" l="1"/>
  <c r="B70" i="1"/>
  <c r="H70" i="1" s="1"/>
  <c r="G2341" i="24"/>
  <c r="G2369" i="24"/>
  <c r="G2385" i="24"/>
  <c r="G2397" i="24"/>
  <c r="G2340" i="24"/>
  <c r="G2284" i="24" s="1"/>
  <c r="F63" i="25" s="1"/>
  <c r="E64" i="1" s="1"/>
  <c r="G2368" i="24"/>
  <c r="G2285" i="24" s="1"/>
  <c r="F64" i="25" s="1"/>
  <c r="E65" i="1" s="1"/>
  <c r="G2384" i="24"/>
  <c r="G2287" i="24" s="1"/>
  <c r="F66" i="25" s="1"/>
  <c r="E67" i="1" s="1"/>
  <c r="G2396" i="24"/>
  <c r="G2289" i="24" s="1"/>
  <c r="F68" i="25" s="1"/>
  <c r="E69" i="1" s="1"/>
  <c r="I2281" i="24"/>
  <c r="H113" i="25" s="1"/>
  <c r="G79" i="1" s="1"/>
  <c r="I2280" i="24"/>
  <c r="H112" i="25" s="1"/>
  <c r="G78" i="1" s="1"/>
  <c r="I2279" i="24"/>
  <c r="H111" i="25" s="1"/>
  <c r="G77" i="1" s="1"/>
  <c r="I2278" i="24"/>
  <c r="H110" i="25" s="1"/>
  <c r="G76" i="1" s="1"/>
  <c r="H2278" i="24"/>
  <c r="G110" i="25" s="1"/>
  <c r="F76" i="1" s="1"/>
  <c r="G2278" i="24"/>
  <c r="F110" i="25" s="1"/>
  <c r="E76" i="1" s="1"/>
  <c r="F2278" i="24"/>
  <c r="E110" i="25" s="1"/>
  <c r="D76" i="1" s="1"/>
  <c r="E2278" i="24"/>
  <c r="D110" i="25" s="1"/>
  <c r="C76" i="1" s="1"/>
  <c r="D2278" i="24"/>
  <c r="C110" i="25" s="1"/>
  <c r="I2276" i="24"/>
  <c r="H108" i="25" s="1"/>
  <c r="G74" i="1" s="1"/>
  <c r="H2277" i="24"/>
  <c r="G109" i="25" s="1"/>
  <c r="F75" i="1" s="1"/>
  <c r="G2277" i="24"/>
  <c r="F109" i="25" s="1"/>
  <c r="E75" i="1" s="1"/>
  <c r="F2277" i="24"/>
  <c r="E109" i="25" s="1"/>
  <c r="D75" i="1" s="1"/>
  <c r="E2277" i="24"/>
  <c r="D109" i="25" s="1"/>
  <c r="C75" i="1" s="1"/>
  <c r="I2282" i="24"/>
  <c r="H114" i="25" s="1"/>
  <c r="G80" i="1" s="1"/>
  <c r="H2266" i="24"/>
  <c r="H2274" i="24" s="1"/>
  <c r="H2258" i="24"/>
  <c r="G2266" i="24"/>
  <c r="G2274" i="24" s="1"/>
  <c r="G2258" i="24"/>
  <c r="F2266" i="24"/>
  <c r="F2274" i="24" s="1"/>
  <c r="F2258" i="24"/>
  <c r="E2266" i="24"/>
  <c r="E2274" i="24" s="1"/>
  <c r="E2258" i="24"/>
  <c r="D2266" i="24"/>
  <c r="D2274" i="24" s="1"/>
  <c r="D2258" i="24"/>
  <c r="H2264" i="24"/>
  <c r="H2273" i="24" s="1"/>
  <c r="H2257" i="24"/>
  <c r="G2264" i="24"/>
  <c r="G2273" i="24" s="1"/>
  <c r="G2257" i="24"/>
  <c r="F2264" i="24"/>
  <c r="F2273" i="24" s="1"/>
  <c r="F2257" i="24"/>
  <c r="E2264" i="24"/>
  <c r="E2273" i="24" s="1"/>
  <c r="E2257" i="24"/>
  <c r="D2264" i="24"/>
  <c r="D2273" i="24" s="1"/>
  <c r="D2257" i="24"/>
  <c r="H2276" i="24"/>
  <c r="G108" i="25" s="1"/>
  <c r="F74" i="1" s="1"/>
  <c r="H2279" i="24"/>
  <c r="G111" i="25" s="1"/>
  <c r="F77" i="1" s="1"/>
  <c r="H2280" i="24"/>
  <c r="G112" i="25" s="1"/>
  <c r="F78" i="1" s="1"/>
  <c r="H2262" i="24"/>
  <c r="H2272" i="24" s="1"/>
  <c r="H2256" i="24"/>
  <c r="G2276" i="24"/>
  <c r="F108" i="25" s="1"/>
  <c r="E74" i="1" s="1"/>
  <c r="G2279" i="24"/>
  <c r="F111" i="25" s="1"/>
  <c r="E77" i="1" s="1"/>
  <c r="G2280" i="24"/>
  <c r="F112" i="25" s="1"/>
  <c r="E78" i="1" s="1"/>
  <c r="G2262" i="24"/>
  <c r="G2272" i="24" s="1"/>
  <c r="G2256" i="24"/>
  <c r="F2276" i="24"/>
  <c r="E108" i="25" s="1"/>
  <c r="D74" i="1" s="1"/>
  <c r="F2279" i="24"/>
  <c r="E111" i="25" s="1"/>
  <c r="D77" i="1" s="1"/>
  <c r="F2280" i="24"/>
  <c r="E112" i="25" s="1"/>
  <c r="D78" i="1" s="1"/>
  <c r="F2262" i="24"/>
  <c r="F2272" i="24" s="1"/>
  <c r="F2256" i="24"/>
  <c r="E2276" i="24"/>
  <c r="D108" i="25" s="1"/>
  <c r="C74" i="1" s="1"/>
  <c r="E2279" i="24"/>
  <c r="D111" i="25" s="1"/>
  <c r="C77" i="1" s="1"/>
  <c r="E2280" i="24"/>
  <c r="D112" i="25" s="1"/>
  <c r="C78" i="1" s="1"/>
  <c r="E2262" i="24"/>
  <c r="E2272" i="24" s="1"/>
  <c r="E2256" i="24"/>
  <c r="D2276" i="24"/>
  <c r="C108" i="25" s="1"/>
  <c r="D2277" i="24"/>
  <c r="C109" i="25" s="1"/>
  <c r="D2279" i="24"/>
  <c r="C111" i="25" s="1"/>
  <c r="D2280" i="24"/>
  <c r="C112" i="25" s="1"/>
  <c r="D2262" i="24"/>
  <c r="D2272" i="24" s="1"/>
  <c r="D2256" i="24"/>
  <c r="H2260" i="24"/>
  <c r="H2271" i="24" s="1"/>
  <c r="H2255" i="24"/>
  <c r="G2260" i="24"/>
  <c r="G2271" i="24" s="1"/>
  <c r="G2255" i="24"/>
  <c r="F2260" i="24"/>
  <c r="F2271" i="24" s="1"/>
  <c r="F2255" i="24"/>
  <c r="E2260" i="24"/>
  <c r="E2271" i="24" s="1"/>
  <c r="E2255" i="24"/>
  <c r="D2260" i="24"/>
  <c r="D2271" i="24" s="1"/>
  <c r="D2255" i="24"/>
  <c r="I2127" i="24"/>
  <c r="H104" i="25" s="1"/>
  <c r="G99" i="1" s="1"/>
  <c r="I2126" i="24"/>
  <c r="H103" i="25" s="1"/>
  <c r="G98" i="1" s="1"/>
  <c r="I2125" i="24"/>
  <c r="H102" i="25" s="1"/>
  <c r="G97" i="1" s="1"/>
  <c r="I2124" i="24"/>
  <c r="H101" i="25" s="1"/>
  <c r="G96" i="1" s="1"/>
  <c r="I2122" i="24"/>
  <c r="H99" i="25" s="1"/>
  <c r="G94" i="1" s="1"/>
  <c r="H2123" i="24"/>
  <c r="G100" i="25" s="1"/>
  <c r="F95" i="1" s="1"/>
  <c r="G2123" i="24"/>
  <c r="F100" i="25" s="1"/>
  <c r="E95" i="1" s="1"/>
  <c r="F2123" i="24"/>
  <c r="E100" i="25" s="1"/>
  <c r="D95" i="1" s="1"/>
  <c r="E2123" i="24"/>
  <c r="D100" i="25" s="1"/>
  <c r="C95" i="1" s="1"/>
  <c r="H2116" i="24"/>
  <c r="H2120" i="24" s="1"/>
  <c r="H2112" i="24"/>
  <c r="G2116" i="24"/>
  <c r="G2120" i="24" s="1"/>
  <c r="G2112" i="24"/>
  <c r="F2116" i="24"/>
  <c r="F2120" i="24" s="1"/>
  <c r="F2112" i="24"/>
  <c r="E2116" i="24"/>
  <c r="E2120" i="24" s="1"/>
  <c r="E2112" i="24"/>
  <c r="D2116" i="24"/>
  <c r="D2120" i="24" s="1"/>
  <c r="D2112" i="24"/>
  <c r="H2122" i="24"/>
  <c r="G99" i="25" s="1"/>
  <c r="F94" i="1" s="1"/>
  <c r="H2124" i="24"/>
  <c r="G101" i="25" s="1"/>
  <c r="F96" i="1" s="1"/>
  <c r="H2125" i="24"/>
  <c r="G102" i="25" s="1"/>
  <c r="F97" i="1" s="1"/>
  <c r="H2126" i="24"/>
  <c r="G103" i="25" s="1"/>
  <c r="F98" i="1" s="1"/>
  <c r="H2114" i="24"/>
  <c r="H2119" i="24" s="1"/>
  <c r="H2128" i="24" s="1"/>
  <c r="G105" i="25" s="1"/>
  <c r="F100" i="1" s="1"/>
  <c r="H2111" i="24"/>
  <c r="H2127" i="24" s="1"/>
  <c r="G104" i="25" s="1"/>
  <c r="F99" i="1" s="1"/>
  <c r="G2122" i="24"/>
  <c r="F99" i="25" s="1"/>
  <c r="E94" i="1" s="1"/>
  <c r="G2124" i="24"/>
  <c r="F101" i="25" s="1"/>
  <c r="E96" i="1" s="1"/>
  <c r="G2125" i="24"/>
  <c r="F102" i="25" s="1"/>
  <c r="E97" i="1" s="1"/>
  <c r="G2126" i="24"/>
  <c r="F103" i="25" s="1"/>
  <c r="E98" i="1" s="1"/>
  <c r="G2114" i="24"/>
  <c r="G2119" i="24" s="1"/>
  <c r="G2128" i="24" s="1"/>
  <c r="F105" i="25" s="1"/>
  <c r="E100" i="1" s="1"/>
  <c r="G2111" i="24"/>
  <c r="G2127" i="24" s="1"/>
  <c r="F104" i="25" s="1"/>
  <c r="E99" i="1" s="1"/>
  <c r="F2122" i="24"/>
  <c r="E99" i="25" s="1"/>
  <c r="D94" i="1" s="1"/>
  <c r="F2124" i="24"/>
  <c r="E101" i="25" s="1"/>
  <c r="D96" i="1" s="1"/>
  <c r="F2125" i="24"/>
  <c r="E102" i="25" s="1"/>
  <c r="D97" i="1" s="1"/>
  <c r="F2126" i="24"/>
  <c r="E103" i="25" s="1"/>
  <c r="D98" i="1" s="1"/>
  <c r="F2114" i="24"/>
  <c r="F2119" i="24" s="1"/>
  <c r="F2128" i="24" s="1"/>
  <c r="E105" i="25" s="1"/>
  <c r="D100" i="1" s="1"/>
  <c r="F2111" i="24"/>
  <c r="F2127" i="24" s="1"/>
  <c r="E104" i="25" s="1"/>
  <c r="D99" i="1" s="1"/>
  <c r="E2122" i="24"/>
  <c r="D99" i="25" s="1"/>
  <c r="C94" i="1" s="1"/>
  <c r="E2124" i="24"/>
  <c r="D101" i="25" s="1"/>
  <c r="C96" i="1" s="1"/>
  <c r="E2125" i="24"/>
  <c r="D102" i="25" s="1"/>
  <c r="C97" i="1" s="1"/>
  <c r="E2126" i="24"/>
  <c r="D103" i="25" s="1"/>
  <c r="C98" i="1" s="1"/>
  <c r="E2114" i="24"/>
  <c r="E2119" i="24" s="1"/>
  <c r="E2128" i="24" s="1"/>
  <c r="D105" i="25" s="1"/>
  <c r="C100" i="1" s="1"/>
  <c r="E2111" i="24"/>
  <c r="E2127" i="24" s="1"/>
  <c r="D104" i="25" s="1"/>
  <c r="C99" i="1" s="1"/>
  <c r="D2122" i="24"/>
  <c r="C99" i="25" s="1"/>
  <c r="D2123" i="24"/>
  <c r="C100" i="25" s="1"/>
  <c r="D2124" i="24"/>
  <c r="C101" i="25" s="1"/>
  <c r="D2125" i="24"/>
  <c r="C102" i="25" s="1"/>
  <c r="D2126" i="24"/>
  <c r="C103" i="25" s="1"/>
  <c r="D2114" i="24"/>
  <c r="D2119" i="24" s="1"/>
  <c r="D2128" i="24" s="1"/>
  <c r="C105" i="25" s="1"/>
  <c r="D2111" i="24"/>
  <c r="D2127" i="24" s="1"/>
  <c r="C104" i="25" s="1"/>
  <c r="I2123" i="24"/>
  <c r="H100" i="25" s="1"/>
  <c r="G95" i="1" s="1"/>
  <c r="I2043" i="24"/>
  <c r="H95" i="25" s="1"/>
  <c r="G109" i="1" s="1"/>
  <c r="I2042" i="24"/>
  <c r="H94" i="25" s="1"/>
  <c r="G108" i="1" s="1"/>
  <c r="I2041" i="24"/>
  <c r="H93" i="25" s="1"/>
  <c r="G107" i="1" s="1"/>
  <c r="I2040" i="24"/>
  <c r="H92" i="25" s="1"/>
  <c r="G106" i="1" s="1"/>
  <c r="I2038" i="24"/>
  <c r="H90" i="25" s="1"/>
  <c r="G104" i="1" s="1"/>
  <c r="H2039" i="24"/>
  <c r="G91" i="25" s="1"/>
  <c r="F105" i="1" s="1"/>
  <c r="G2039" i="24"/>
  <c r="F91" i="25" s="1"/>
  <c r="E105" i="1" s="1"/>
  <c r="F2039" i="24"/>
  <c r="E91" i="25" s="1"/>
  <c r="D105" i="1" s="1"/>
  <c r="E2039" i="24"/>
  <c r="D91" i="25" s="1"/>
  <c r="C105" i="1" s="1"/>
  <c r="H2032" i="24"/>
  <c r="H2036" i="24" s="1"/>
  <c r="H2028" i="24"/>
  <c r="G2032" i="24"/>
  <c r="G2036" i="24" s="1"/>
  <c r="G2028" i="24"/>
  <c r="F2032" i="24"/>
  <c r="F2036" i="24" s="1"/>
  <c r="F2028" i="24"/>
  <c r="E2032" i="24"/>
  <c r="E2036" i="24" s="1"/>
  <c r="E2028" i="24"/>
  <c r="D2032" i="24"/>
  <c r="D2036" i="24" s="1"/>
  <c r="D2028" i="24"/>
  <c r="H2038" i="24"/>
  <c r="G90" i="25" s="1"/>
  <c r="F104" i="1" s="1"/>
  <c r="H2040" i="24"/>
  <c r="G92" i="25" s="1"/>
  <c r="F106" i="1" s="1"/>
  <c r="H2041" i="24"/>
  <c r="G93" i="25" s="1"/>
  <c r="F107" i="1" s="1"/>
  <c r="H2042" i="24"/>
  <c r="G94" i="25" s="1"/>
  <c r="F108" i="1" s="1"/>
  <c r="H2030" i="24"/>
  <c r="H2035" i="24" s="1"/>
  <c r="H2044" i="24" s="1"/>
  <c r="G96" i="25" s="1"/>
  <c r="F110" i="1" s="1"/>
  <c r="H2027" i="24"/>
  <c r="H2043" i="24" s="1"/>
  <c r="G95" i="25" s="1"/>
  <c r="F109" i="1" s="1"/>
  <c r="G2038" i="24"/>
  <c r="F90" i="25" s="1"/>
  <c r="E104" i="1" s="1"/>
  <c r="G2040" i="24"/>
  <c r="F92" i="25" s="1"/>
  <c r="E106" i="1" s="1"/>
  <c r="G2041" i="24"/>
  <c r="F93" i="25" s="1"/>
  <c r="E107" i="1" s="1"/>
  <c r="G2042" i="24"/>
  <c r="F94" i="25" s="1"/>
  <c r="E108" i="1" s="1"/>
  <c r="G2030" i="24"/>
  <c r="G2035" i="24" s="1"/>
  <c r="G2044" i="24" s="1"/>
  <c r="F96" i="25" s="1"/>
  <c r="E110" i="1" s="1"/>
  <c r="G2027" i="24"/>
  <c r="G2043" i="24" s="1"/>
  <c r="F95" i="25" s="1"/>
  <c r="E109" i="1" s="1"/>
  <c r="F2038" i="24"/>
  <c r="E90" i="25" s="1"/>
  <c r="D104" i="1" s="1"/>
  <c r="F2040" i="24"/>
  <c r="E92" i="25" s="1"/>
  <c r="D106" i="1" s="1"/>
  <c r="F2041" i="24"/>
  <c r="E93" i="25" s="1"/>
  <c r="D107" i="1" s="1"/>
  <c r="F2042" i="24"/>
  <c r="E94" i="25" s="1"/>
  <c r="D108" i="1" s="1"/>
  <c r="F2030" i="24"/>
  <c r="F2035" i="24" s="1"/>
  <c r="F2044" i="24" s="1"/>
  <c r="E96" i="25" s="1"/>
  <c r="D110" i="1" s="1"/>
  <c r="F2027" i="24"/>
  <c r="F2043" i="24" s="1"/>
  <c r="E95" i="25" s="1"/>
  <c r="D109" i="1" s="1"/>
  <c r="E2038" i="24"/>
  <c r="D90" i="25" s="1"/>
  <c r="C104" i="1" s="1"/>
  <c r="E2040" i="24"/>
  <c r="D92" i="25" s="1"/>
  <c r="C106" i="1" s="1"/>
  <c r="E2041" i="24"/>
  <c r="D93" i="25" s="1"/>
  <c r="C107" i="1" s="1"/>
  <c r="E2042" i="24"/>
  <c r="D94" i="25" s="1"/>
  <c r="C108" i="1" s="1"/>
  <c r="E2030" i="24"/>
  <c r="E2035" i="24" s="1"/>
  <c r="E2044" i="24" s="1"/>
  <c r="D96" i="25" s="1"/>
  <c r="C110" i="1" s="1"/>
  <c r="E2027" i="24"/>
  <c r="E2043" i="24" s="1"/>
  <c r="D95" i="25" s="1"/>
  <c r="C109" i="1" s="1"/>
  <c r="D2038" i="24"/>
  <c r="C90" i="25" s="1"/>
  <c r="D2039" i="24"/>
  <c r="C91" i="25" s="1"/>
  <c r="D2040" i="24"/>
  <c r="C92" i="25" s="1"/>
  <c r="D2041" i="24"/>
  <c r="C93" i="25" s="1"/>
  <c r="D2042" i="24"/>
  <c r="C94" i="25" s="1"/>
  <c r="D2030" i="24"/>
  <c r="D2035" i="24" s="1"/>
  <c r="D2044" i="24" s="1"/>
  <c r="C96" i="25" s="1"/>
  <c r="D2027" i="24"/>
  <c r="D2043" i="24" s="1"/>
  <c r="C95" i="25" s="1"/>
  <c r="I2039" i="24"/>
  <c r="H91" i="25" s="1"/>
  <c r="G105" i="1" s="1"/>
  <c r="I1959" i="24"/>
  <c r="H86" i="25" s="1"/>
  <c r="G119" i="1" s="1"/>
  <c r="I1958" i="24"/>
  <c r="H85" i="25" s="1"/>
  <c r="G118" i="1" s="1"/>
  <c r="I1957" i="24"/>
  <c r="H84" i="25" s="1"/>
  <c r="G117" i="1" s="1"/>
  <c r="I1956" i="24"/>
  <c r="H83" i="25" s="1"/>
  <c r="G116" i="1" s="1"/>
  <c r="I1954" i="24"/>
  <c r="H81" i="25" s="1"/>
  <c r="G114" i="1" s="1"/>
  <c r="H1955" i="24"/>
  <c r="G82" i="25" s="1"/>
  <c r="F115" i="1" s="1"/>
  <c r="G1955" i="24"/>
  <c r="F82" i="25" s="1"/>
  <c r="E115" i="1" s="1"/>
  <c r="F1955" i="24"/>
  <c r="E82" i="25" s="1"/>
  <c r="D115" i="1" s="1"/>
  <c r="E1955" i="24"/>
  <c r="D82" i="25" s="1"/>
  <c r="C115" i="1" s="1"/>
  <c r="H1948" i="24"/>
  <c r="H1952" i="24" s="1"/>
  <c r="H1944" i="24"/>
  <c r="G1948" i="24"/>
  <c r="G1952" i="24" s="1"/>
  <c r="G1944" i="24"/>
  <c r="F1948" i="24"/>
  <c r="F1952" i="24" s="1"/>
  <c r="F1944" i="24"/>
  <c r="E1948" i="24"/>
  <c r="E1952" i="24" s="1"/>
  <c r="E1944" i="24"/>
  <c r="D1948" i="24"/>
  <c r="D1952" i="24" s="1"/>
  <c r="D1944" i="24"/>
  <c r="H1954" i="24"/>
  <c r="G81" i="25" s="1"/>
  <c r="F114" i="1" s="1"/>
  <c r="H1956" i="24"/>
  <c r="G83" i="25" s="1"/>
  <c r="F116" i="1" s="1"/>
  <c r="H1957" i="24"/>
  <c r="G84" i="25" s="1"/>
  <c r="F117" i="1" s="1"/>
  <c r="H1958" i="24"/>
  <c r="G85" i="25" s="1"/>
  <c r="F118" i="1" s="1"/>
  <c r="H1946" i="24"/>
  <c r="H1951" i="24" s="1"/>
  <c r="H1960" i="24" s="1"/>
  <c r="G87" i="25" s="1"/>
  <c r="F120" i="1" s="1"/>
  <c r="H1943" i="24"/>
  <c r="H1959" i="24" s="1"/>
  <c r="G86" i="25" s="1"/>
  <c r="F119" i="1" s="1"/>
  <c r="G1954" i="24"/>
  <c r="F81" i="25" s="1"/>
  <c r="E114" i="1" s="1"/>
  <c r="G1956" i="24"/>
  <c r="F83" i="25" s="1"/>
  <c r="E116" i="1" s="1"/>
  <c r="G1957" i="24"/>
  <c r="F84" i="25" s="1"/>
  <c r="E117" i="1" s="1"/>
  <c r="G1958" i="24"/>
  <c r="F85" i="25" s="1"/>
  <c r="E118" i="1" s="1"/>
  <c r="G1946" i="24"/>
  <c r="G1951" i="24" s="1"/>
  <c r="G1960" i="24" s="1"/>
  <c r="F87" i="25" s="1"/>
  <c r="E120" i="1" s="1"/>
  <c r="G1943" i="24"/>
  <c r="G1959" i="24" s="1"/>
  <c r="F86" i="25" s="1"/>
  <c r="E119" i="1" s="1"/>
  <c r="F1954" i="24"/>
  <c r="E81" i="25" s="1"/>
  <c r="D114" i="1" s="1"/>
  <c r="F1956" i="24"/>
  <c r="E83" i="25" s="1"/>
  <c r="D116" i="1" s="1"/>
  <c r="F1957" i="24"/>
  <c r="E84" i="25" s="1"/>
  <c r="D117" i="1" s="1"/>
  <c r="F1958" i="24"/>
  <c r="E85" i="25" s="1"/>
  <c r="D118" i="1" s="1"/>
  <c r="F1946" i="24"/>
  <c r="F1951" i="24" s="1"/>
  <c r="F1960" i="24" s="1"/>
  <c r="E87" i="25" s="1"/>
  <c r="D120" i="1" s="1"/>
  <c r="F1943" i="24"/>
  <c r="F1959" i="24" s="1"/>
  <c r="E86" i="25" s="1"/>
  <c r="D119" i="1" s="1"/>
  <c r="E1954" i="24"/>
  <c r="D81" i="25" s="1"/>
  <c r="C114" i="1" s="1"/>
  <c r="E1956" i="24"/>
  <c r="D83" i="25" s="1"/>
  <c r="C116" i="1" s="1"/>
  <c r="E1957" i="24"/>
  <c r="D84" i="25" s="1"/>
  <c r="C117" i="1" s="1"/>
  <c r="E1958" i="24"/>
  <c r="D85" i="25" s="1"/>
  <c r="C118" i="1" s="1"/>
  <c r="E1946" i="24"/>
  <c r="E1951" i="24" s="1"/>
  <c r="E1960" i="24" s="1"/>
  <c r="D87" i="25" s="1"/>
  <c r="C120" i="1" s="1"/>
  <c r="E1943" i="24"/>
  <c r="E1959" i="24" s="1"/>
  <c r="D86" i="25" s="1"/>
  <c r="C119" i="1" s="1"/>
  <c r="D1954" i="24"/>
  <c r="C81" i="25" s="1"/>
  <c r="D1955" i="24"/>
  <c r="C82" i="25" s="1"/>
  <c r="D1956" i="24"/>
  <c r="C83" i="25" s="1"/>
  <c r="D1957" i="24"/>
  <c r="C84" i="25" s="1"/>
  <c r="D1958" i="24"/>
  <c r="C85" i="25" s="1"/>
  <c r="D1946" i="24"/>
  <c r="D1951" i="24" s="1"/>
  <c r="D1960" i="24" s="1"/>
  <c r="C87" i="25" s="1"/>
  <c r="D1943" i="24"/>
  <c r="D1959" i="24" s="1"/>
  <c r="C86" i="25" s="1"/>
  <c r="I1955" i="24"/>
  <c r="H82" i="25" s="1"/>
  <c r="G115" i="1" s="1"/>
  <c r="I1875" i="24"/>
  <c r="H77" i="25" s="1"/>
  <c r="G89" i="1" s="1"/>
  <c r="I1874" i="24"/>
  <c r="H76" i="25" s="1"/>
  <c r="G88" i="1" s="1"/>
  <c r="I1873" i="24"/>
  <c r="H75" i="25" s="1"/>
  <c r="G87" i="1" s="1"/>
  <c r="I1872" i="24"/>
  <c r="H74" i="25" s="1"/>
  <c r="G86" i="1" s="1"/>
  <c r="I1870" i="24"/>
  <c r="H72" i="25" s="1"/>
  <c r="G84" i="1" s="1"/>
  <c r="H1871" i="24"/>
  <c r="G73" i="25" s="1"/>
  <c r="F85" i="1" s="1"/>
  <c r="G1871" i="24"/>
  <c r="F73" i="25" s="1"/>
  <c r="E85" i="1" s="1"/>
  <c r="F1871" i="24"/>
  <c r="E73" i="25" s="1"/>
  <c r="D85" i="1" s="1"/>
  <c r="E1871" i="24"/>
  <c r="D73" i="25" s="1"/>
  <c r="C85" i="1" s="1"/>
  <c r="H1864" i="24"/>
  <c r="H1868" i="24" s="1"/>
  <c r="H1860" i="24"/>
  <c r="G1864" i="24"/>
  <c r="G1868" i="24" s="1"/>
  <c r="G1860" i="24"/>
  <c r="F1864" i="24"/>
  <c r="F1868" i="24" s="1"/>
  <c r="F1860" i="24"/>
  <c r="E1864" i="24"/>
  <c r="E1868" i="24" s="1"/>
  <c r="E1860" i="24"/>
  <c r="D1864" i="24"/>
  <c r="D1868" i="24" s="1"/>
  <c r="D1860" i="24"/>
  <c r="H1870" i="24"/>
  <c r="G72" i="25" s="1"/>
  <c r="F84" i="1" s="1"/>
  <c r="H1872" i="24"/>
  <c r="G74" i="25" s="1"/>
  <c r="F86" i="1" s="1"/>
  <c r="H1873" i="24"/>
  <c r="G75" i="25" s="1"/>
  <c r="F87" i="1" s="1"/>
  <c r="H1874" i="24"/>
  <c r="G76" i="25" s="1"/>
  <c r="F88" i="1" s="1"/>
  <c r="H1862" i="24"/>
  <c r="H1867" i="24" s="1"/>
  <c r="H1876" i="24" s="1"/>
  <c r="G78" i="25" s="1"/>
  <c r="F90" i="1" s="1"/>
  <c r="H1859" i="24"/>
  <c r="H1875" i="24" s="1"/>
  <c r="G77" i="25" s="1"/>
  <c r="F89" i="1" s="1"/>
  <c r="G1870" i="24"/>
  <c r="F72" i="25" s="1"/>
  <c r="E84" i="1" s="1"/>
  <c r="G1872" i="24"/>
  <c r="F74" i="25" s="1"/>
  <c r="E86" i="1" s="1"/>
  <c r="G1873" i="24"/>
  <c r="F75" i="25" s="1"/>
  <c r="E87" i="1" s="1"/>
  <c r="G1874" i="24"/>
  <c r="F76" i="25" s="1"/>
  <c r="E88" i="1" s="1"/>
  <c r="G1862" i="24"/>
  <c r="G1867" i="24" s="1"/>
  <c r="G1876" i="24" s="1"/>
  <c r="F78" i="25" s="1"/>
  <c r="E90" i="1" s="1"/>
  <c r="G1859" i="24"/>
  <c r="G1875" i="24" s="1"/>
  <c r="F77" i="25" s="1"/>
  <c r="E89" i="1" s="1"/>
  <c r="F1870" i="24"/>
  <c r="E72" i="25" s="1"/>
  <c r="D84" i="1" s="1"/>
  <c r="F1872" i="24"/>
  <c r="E74" i="25" s="1"/>
  <c r="D86" i="1" s="1"/>
  <c r="F1873" i="24"/>
  <c r="E75" i="25" s="1"/>
  <c r="D87" i="1" s="1"/>
  <c r="F1874" i="24"/>
  <c r="E76" i="25" s="1"/>
  <c r="D88" i="1" s="1"/>
  <c r="F1862" i="24"/>
  <c r="F1867" i="24" s="1"/>
  <c r="F1876" i="24" s="1"/>
  <c r="E78" i="25" s="1"/>
  <c r="D90" i="1" s="1"/>
  <c r="F1859" i="24"/>
  <c r="F1875" i="24" s="1"/>
  <c r="E77" i="25" s="1"/>
  <c r="D89" i="1" s="1"/>
  <c r="E1870" i="24"/>
  <c r="D72" i="25" s="1"/>
  <c r="C84" i="1" s="1"/>
  <c r="E1872" i="24"/>
  <c r="D74" i="25" s="1"/>
  <c r="C86" i="1" s="1"/>
  <c r="E1873" i="24"/>
  <c r="D75" i="25" s="1"/>
  <c r="C87" i="1" s="1"/>
  <c r="E1874" i="24"/>
  <c r="D76" i="25" s="1"/>
  <c r="C88" i="1" s="1"/>
  <c r="E1862" i="24"/>
  <c r="E1867" i="24" s="1"/>
  <c r="E1876" i="24" s="1"/>
  <c r="D78" i="25" s="1"/>
  <c r="C90" i="1" s="1"/>
  <c r="E1859" i="24"/>
  <c r="E1875" i="24" s="1"/>
  <c r="D77" i="25" s="1"/>
  <c r="C89" i="1" s="1"/>
  <c r="D1870" i="24"/>
  <c r="C72" i="25" s="1"/>
  <c r="D1871" i="24"/>
  <c r="C73" i="25" s="1"/>
  <c r="D1872" i="24"/>
  <c r="C74" i="25" s="1"/>
  <c r="D1873" i="24"/>
  <c r="C75" i="25" s="1"/>
  <c r="D1874" i="24"/>
  <c r="C76" i="25" s="1"/>
  <c r="D1862" i="24"/>
  <c r="D1867" i="24" s="1"/>
  <c r="D1876" i="24" s="1"/>
  <c r="C78" i="25" s="1"/>
  <c r="D1859" i="24"/>
  <c r="D1875" i="24" s="1"/>
  <c r="C77" i="25" s="1"/>
  <c r="I1793" i="24"/>
  <c r="H68" i="25" s="1"/>
  <c r="G69" i="1" s="1"/>
  <c r="I1791" i="24"/>
  <c r="H66" i="25" s="1"/>
  <c r="G67" i="1" s="1"/>
  <c r="I1789" i="24"/>
  <c r="H64" i="25" s="1"/>
  <c r="G65" i="1" s="1"/>
  <c r="I1788" i="24"/>
  <c r="H63" i="25" s="1"/>
  <c r="G64" i="1" s="1"/>
  <c r="G71" i="1" s="1"/>
  <c r="H1621" i="24"/>
  <c r="H1649" i="24"/>
  <c r="H1665" i="24"/>
  <c r="H1677" i="24"/>
  <c r="F1621" i="24"/>
  <c r="F1649" i="24"/>
  <c r="F1665" i="24"/>
  <c r="F1677" i="24"/>
  <c r="E1621" i="24"/>
  <c r="E1649" i="24"/>
  <c r="E1665" i="24"/>
  <c r="E1677" i="24"/>
  <c r="D1621" i="24"/>
  <c r="D1649" i="24"/>
  <c r="D1665" i="24"/>
  <c r="D1677" i="24"/>
  <c r="H1620" i="24"/>
  <c r="H2284" i="24" s="1"/>
  <c r="G63" i="25" s="1"/>
  <c r="F64" i="1" s="1"/>
  <c r="H1648" i="24"/>
  <c r="H2285" i="24" s="1"/>
  <c r="G64" i="25" s="1"/>
  <c r="F65" i="1" s="1"/>
  <c r="H1664" i="24"/>
  <c r="H2287" i="24" s="1"/>
  <c r="G66" i="25" s="1"/>
  <c r="F67" i="1" s="1"/>
  <c r="H1676" i="24"/>
  <c r="H2289" i="24" s="1"/>
  <c r="G68" i="25" s="1"/>
  <c r="F69" i="1" s="1"/>
  <c r="F1620" i="24"/>
  <c r="F1788" i="24" s="1"/>
  <c r="E63" i="25" s="1"/>
  <c r="D64" i="1" s="1"/>
  <c r="F1648" i="24"/>
  <c r="F1789" i="24" s="1"/>
  <c r="E64" i="25" s="1"/>
  <c r="D65" i="1" s="1"/>
  <c r="F1664" i="24"/>
  <c r="F1791" i="24" s="1"/>
  <c r="E66" i="25" s="1"/>
  <c r="D67" i="1" s="1"/>
  <c r="F1676" i="24"/>
  <c r="F1793" i="24" s="1"/>
  <c r="E68" i="25" s="1"/>
  <c r="D69" i="1" s="1"/>
  <c r="E1620" i="24"/>
  <c r="E1788" i="24" s="1"/>
  <c r="D63" i="25" s="1"/>
  <c r="C64" i="1" s="1"/>
  <c r="E1648" i="24"/>
  <c r="E1789" i="24" s="1"/>
  <c r="D64" i="25" s="1"/>
  <c r="C65" i="1" s="1"/>
  <c r="E1664" i="24"/>
  <c r="E1791" i="24" s="1"/>
  <c r="D66" i="25" s="1"/>
  <c r="C67" i="1" s="1"/>
  <c r="E1676" i="24"/>
  <c r="E1793" i="24" s="1"/>
  <c r="D68" i="25" s="1"/>
  <c r="C69" i="1" s="1"/>
  <c r="D1620" i="24"/>
  <c r="D1788" i="24" s="1"/>
  <c r="C63" i="25" s="1"/>
  <c r="D1648" i="24"/>
  <c r="D1789" i="24" s="1"/>
  <c r="C64" i="25" s="1"/>
  <c r="D1664" i="24"/>
  <c r="D1791" i="24" s="1"/>
  <c r="C66" i="25" s="1"/>
  <c r="D1676" i="24"/>
  <c r="D1793" i="24" s="1"/>
  <c r="C68" i="25" s="1"/>
  <c r="I2277" i="24"/>
  <c r="H109" i="25" s="1"/>
  <c r="G75" i="1" s="1"/>
  <c r="I1871" i="24"/>
  <c r="H73" i="25" s="1"/>
  <c r="G85" i="1" s="1"/>
  <c r="I1289" i="24"/>
  <c r="H56" i="26" s="1"/>
  <c r="I1280" i="24"/>
  <c r="H1289" i="24"/>
  <c r="G56" i="26" s="1"/>
  <c r="H1280" i="24"/>
  <c r="G1289" i="24"/>
  <c r="F56" i="26" s="1"/>
  <c r="G1280" i="24"/>
  <c r="F1289" i="24"/>
  <c r="E56" i="26" s="1"/>
  <c r="F1280" i="24"/>
  <c r="E1289" i="24"/>
  <c r="D56" i="26" s="1"/>
  <c r="E1280" i="24"/>
  <c r="D1289" i="24"/>
  <c r="C56" i="26" s="1"/>
  <c r="D1280" i="24"/>
  <c r="H1207" i="24"/>
  <c r="H1211" i="24" s="1"/>
  <c r="H1203" i="24"/>
  <c r="G1207" i="24"/>
  <c r="G1211" i="24" s="1"/>
  <c r="G1203" i="24"/>
  <c r="F1207" i="24"/>
  <c r="F1211" i="24" s="1"/>
  <c r="F1203" i="24"/>
  <c r="E1207" i="24"/>
  <c r="E1211" i="24" s="1"/>
  <c r="E1203" i="24"/>
  <c r="D1207" i="24"/>
  <c r="D1211" i="24" s="1"/>
  <c r="D1203" i="24"/>
  <c r="H1205" i="24"/>
  <c r="H1210" i="24" s="1"/>
  <c r="H1202" i="24"/>
  <c r="G1205" i="24"/>
  <c r="G1210" i="24" s="1"/>
  <c r="G1202" i="24"/>
  <c r="F1205" i="24"/>
  <c r="F1210" i="24" s="1"/>
  <c r="F1202" i="24"/>
  <c r="E1205" i="24"/>
  <c r="E1210" i="24" s="1"/>
  <c r="E1202" i="24"/>
  <c r="D1205" i="24"/>
  <c r="D1210" i="24" s="1"/>
  <c r="D1202" i="24"/>
  <c r="I1248" i="24"/>
  <c r="I1255" i="24"/>
  <c r="I1218" i="24" s="1"/>
  <c r="I1310" i="24" s="1"/>
  <c r="H57" i="25" s="1"/>
  <c r="G19" i="1" s="1"/>
  <c r="I1262" i="24"/>
  <c r="I1221" i="24" s="1"/>
  <c r="I1309" i="24" s="1"/>
  <c r="H56" i="25" s="1"/>
  <c r="G18" i="1" s="1"/>
  <c r="I1269" i="24"/>
  <c r="I1224" i="24" s="1"/>
  <c r="I1276" i="24"/>
  <c r="I1227" i="24" s="1"/>
  <c r="H53" i="25" s="1"/>
  <c r="H50" i="25"/>
  <c r="I1283" i="24"/>
  <c r="I1230" i="24" s="1"/>
  <c r="I1290" i="24"/>
  <c r="I1233" i="24" s="1"/>
  <c r="H58" i="25" s="1"/>
  <c r="I1297" i="24"/>
  <c r="I1236" i="24" s="1"/>
  <c r="I1311" i="24" s="1"/>
  <c r="H59" i="25" s="1"/>
  <c r="G20" i="1" s="1"/>
  <c r="H51" i="25"/>
  <c r="H1248" i="24"/>
  <c r="H1255" i="24"/>
  <c r="H1218" i="24" s="1"/>
  <c r="H1310" i="24" s="1"/>
  <c r="G57" i="25" s="1"/>
  <c r="F19" i="1" s="1"/>
  <c r="H1262" i="24"/>
  <c r="H1221" i="24" s="1"/>
  <c r="H1309" i="24" s="1"/>
  <c r="G56" i="25" s="1"/>
  <c r="F18" i="1" s="1"/>
  <c r="H1269" i="24"/>
  <c r="H1224" i="24" s="1"/>
  <c r="H1306" i="24" s="1"/>
  <c r="G52" i="25" s="1"/>
  <c r="F15" i="1" s="1"/>
  <c r="H1276" i="24"/>
  <c r="H1227" i="24" s="1"/>
  <c r="G53" i="25" s="1"/>
  <c r="G50" i="25"/>
  <c r="H1283" i="24"/>
  <c r="H1230" i="24" s="1"/>
  <c r="H1307" i="24" s="1"/>
  <c r="G54" i="25" s="1"/>
  <c r="F16" i="1" s="1"/>
  <c r="H1290" i="24"/>
  <c r="H1233" i="24" s="1"/>
  <c r="G58" i="25" s="1"/>
  <c r="H1297" i="24"/>
  <c r="H1236" i="24" s="1"/>
  <c r="G51" i="25"/>
  <c r="G1248" i="24"/>
  <c r="G1255" i="24"/>
  <c r="G1218" i="24" s="1"/>
  <c r="G1310" i="24" s="1"/>
  <c r="F57" i="25" s="1"/>
  <c r="E19" i="1" s="1"/>
  <c r="G1262" i="24"/>
  <c r="G1221" i="24" s="1"/>
  <c r="G1309" i="24" s="1"/>
  <c r="F56" i="25" s="1"/>
  <c r="E18" i="1" s="1"/>
  <c r="G1269" i="24"/>
  <c r="G1224" i="24" s="1"/>
  <c r="G1306" i="24" s="1"/>
  <c r="F52" i="25" s="1"/>
  <c r="E15" i="1" s="1"/>
  <c r="G1276" i="24"/>
  <c r="G1227" i="24" s="1"/>
  <c r="F53" i="25" s="1"/>
  <c r="F50" i="25"/>
  <c r="G1283" i="24"/>
  <c r="G1230" i="24" s="1"/>
  <c r="G1307" i="24" s="1"/>
  <c r="F54" i="25" s="1"/>
  <c r="E16" i="1" s="1"/>
  <c r="G1290" i="24"/>
  <c r="G1233" i="24" s="1"/>
  <c r="F58" i="25" s="1"/>
  <c r="G1297" i="24"/>
  <c r="G1236" i="24" s="1"/>
  <c r="F51" i="25"/>
  <c r="F1248" i="24"/>
  <c r="F1255" i="24"/>
  <c r="F1218" i="24" s="1"/>
  <c r="F1310" i="24" s="1"/>
  <c r="E57" i="25" s="1"/>
  <c r="D19" i="1" s="1"/>
  <c r="F1262" i="24"/>
  <c r="F1221" i="24" s="1"/>
  <c r="F1309" i="24" s="1"/>
  <c r="E56" i="25" s="1"/>
  <c r="D18" i="1" s="1"/>
  <c r="F1269" i="24"/>
  <c r="F1224" i="24" s="1"/>
  <c r="F1306" i="24" s="1"/>
  <c r="E52" i="25" s="1"/>
  <c r="D15" i="1" s="1"/>
  <c r="F1276" i="24"/>
  <c r="F1227" i="24" s="1"/>
  <c r="E53" i="25" s="1"/>
  <c r="E50" i="25"/>
  <c r="F1283" i="24"/>
  <c r="F1230" i="24" s="1"/>
  <c r="F1307" i="24" s="1"/>
  <c r="E54" i="25" s="1"/>
  <c r="D16" i="1" s="1"/>
  <c r="F1290" i="24"/>
  <c r="F1233" i="24" s="1"/>
  <c r="E58" i="25" s="1"/>
  <c r="F1297" i="24"/>
  <c r="F1236" i="24" s="1"/>
  <c r="E51" i="25"/>
  <c r="E1248" i="24"/>
  <c r="E1255" i="24"/>
  <c r="E1218" i="24" s="1"/>
  <c r="E1310" i="24" s="1"/>
  <c r="D57" i="25" s="1"/>
  <c r="C19" i="1" s="1"/>
  <c r="E1262" i="24"/>
  <c r="E1221" i="24" s="1"/>
  <c r="E1309" i="24" s="1"/>
  <c r="D56" i="25" s="1"/>
  <c r="C18" i="1" s="1"/>
  <c r="E1269" i="24"/>
  <c r="E1224" i="24" s="1"/>
  <c r="E1306" i="24" s="1"/>
  <c r="D52" i="25" s="1"/>
  <c r="C15" i="1" s="1"/>
  <c r="E1276" i="24"/>
  <c r="E1227" i="24" s="1"/>
  <c r="D53" i="25" s="1"/>
  <c r="D50" i="25"/>
  <c r="E1283" i="24"/>
  <c r="E1230" i="24" s="1"/>
  <c r="E1307" i="24" s="1"/>
  <c r="D54" i="25" s="1"/>
  <c r="C16" i="1" s="1"/>
  <c r="E1290" i="24"/>
  <c r="E1233" i="24" s="1"/>
  <c r="D58" i="25" s="1"/>
  <c r="E1297" i="24"/>
  <c r="E1236" i="24" s="1"/>
  <c r="D51" i="25"/>
  <c r="C81" i="26"/>
  <c r="C133" i="26" s="1"/>
  <c r="I49" i="25"/>
  <c r="D1248" i="24"/>
  <c r="D1255" i="24"/>
  <c r="D1218" i="24" s="1"/>
  <c r="D1310" i="24" s="1"/>
  <c r="C57" i="25" s="1"/>
  <c r="D1262" i="24"/>
  <c r="D1221" i="24" s="1"/>
  <c r="D1309" i="24" s="1"/>
  <c r="C56" i="25" s="1"/>
  <c r="D1269" i="24"/>
  <c r="D1224" i="24" s="1"/>
  <c r="D1306" i="24" s="1"/>
  <c r="C52" i="25" s="1"/>
  <c r="D1276" i="24"/>
  <c r="D1227" i="24" s="1"/>
  <c r="C53" i="25" s="1"/>
  <c r="I53" i="25" s="1"/>
  <c r="C50" i="25"/>
  <c r="I50" i="25" s="1"/>
  <c r="D1283" i="24"/>
  <c r="D1230" i="24" s="1"/>
  <c r="D1307" i="24" s="1"/>
  <c r="C54" i="25" s="1"/>
  <c r="D1290" i="24"/>
  <c r="D1233" i="24" s="1"/>
  <c r="C58" i="25" s="1"/>
  <c r="I58" i="25" s="1"/>
  <c r="D1297" i="24"/>
  <c r="D1236" i="24" s="1"/>
  <c r="C51" i="25"/>
  <c r="I51" i="25" s="1"/>
  <c r="I48" i="25"/>
  <c r="I1306" i="24"/>
  <c r="H52" i="25" s="1"/>
  <c r="G15" i="1" s="1"/>
  <c r="I1307" i="24"/>
  <c r="H54" i="25" s="1"/>
  <c r="G16" i="1" s="1"/>
  <c r="I992" i="24"/>
  <c r="H44" i="25" s="1"/>
  <c r="G38" i="1" s="1"/>
  <c r="I991" i="24"/>
  <c r="H43" i="25" s="1"/>
  <c r="G37" i="1" s="1"/>
  <c r="I990" i="24"/>
  <c r="H42" i="25" s="1"/>
  <c r="G36" i="1" s="1"/>
  <c r="I989" i="24"/>
  <c r="H41" i="25" s="1"/>
  <c r="G35" i="1" s="1"/>
  <c r="H988" i="24"/>
  <c r="G40" i="25" s="1"/>
  <c r="F34" i="1" s="1"/>
  <c r="G988" i="24"/>
  <c r="F40" i="25" s="1"/>
  <c r="E34" i="1" s="1"/>
  <c r="F988" i="24"/>
  <c r="E40" i="25" s="1"/>
  <c r="D34" i="1" s="1"/>
  <c r="E988" i="24"/>
  <c r="D40" i="25" s="1"/>
  <c r="C34" i="1" s="1"/>
  <c r="B33" i="1"/>
  <c r="D988" i="24"/>
  <c r="C40" i="25" s="1"/>
  <c r="I993" i="24"/>
  <c r="H45" i="25" s="1"/>
  <c r="G39" i="1" s="1"/>
  <c r="H993" i="24"/>
  <c r="G45" i="25" s="1"/>
  <c r="F39" i="1" s="1"/>
  <c r="G993" i="24"/>
  <c r="F45" i="25" s="1"/>
  <c r="E39" i="1" s="1"/>
  <c r="F993" i="24"/>
  <c r="E45" i="25" s="1"/>
  <c r="D39" i="1" s="1"/>
  <c r="E993" i="24"/>
  <c r="D45" i="25" s="1"/>
  <c r="C39" i="1" s="1"/>
  <c r="D993" i="24"/>
  <c r="C45" i="25" s="1"/>
  <c r="I987" i="24"/>
  <c r="H39" i="25" s="1"/>
  <c r="I988" i="24"/>
  <c r="H40" i="25" s="1"/>
  <c r="G34" i="1" s="1"/>
  <c r="H989" i="24"/>
  <c r="G41" i="25" s="1"/>
  <c r="F35" i="1" s="1"/>
  <c r="H990" i="24"/>
  <c r="G42" i="25" s="1"/>
  <c r="F36" i="1" s="1"/>
  <c r="H991" i="24"/>
  <c r="G43" i="25" s="1"/>
  <c r="F37" i="1" s="1"/>
  <c r="H992" i="24"/>
  <c r="G44" i="25" s="1"/>
  <c r="F38" i="1" s="1"/>
  <c r="G989" i="24"/>
  <c r="F41" i="25" s="1"/>
  <c r="E35" i="1" s="1"/>
  <c r="G990" i="24"/>
  <c r="F42" i="25" s="1"/>
  <c r="E36" i="1" s="1"/>
  <c r="G991" i="24"/>
  <c r="F43" i="25" s="1"/>
  <c r="E37" i="1" s="1"/>
  <c r="G992" i="24"/>
  <c r="F44" i="25" s="1"/>
  <c r="E38" i="1" s="1"/>
  <c r="F989" i="24"/>
  <c r="E41" i="25" s="1"/>
  <c r="D35" i="1" s="1"/>
  <c r="F990" i="24"/>
  <c r="E42" i="25" s="1"/>
  <c r="D36" i="1" s="1"/>
  <c r="F991" i="24"/>
  <c r="E43" i="25" s="1"/>
  <c r="D37" i="1" s="1"/>
  <c r="F992" i="24"/>
  <c r="E44" i="25" s="1"/>
  <c r="D38" i="1" s="1"/>
  <c r="E989" i="24"/>
  <c r="D41" i="25" s="1"/>
  <c r="C35" i="1" s="1"/>
  <c r="E990" i="24"/>
  <c r="D42" i="25" s="1"/>
  <c r="C36" i="1" s="1"/>
  <c r="E991" i="24"/>
  <c r="D43" i="25" s="1"/>
  <c r="C37" i="1" s="1"/>
  <c r="E992" i="24"/>
  <c r="D44" i="25" s="1"/>
  <c r="C38" i="1" s="1"/>
  <c r="D989" i="24"/>
  <c r="C41" i="25" s="1"/>
  <c r="D990" i="24"/>
  <c r="C42" i="25" s="1"/>
  <c r="D991" i="24"/>
  <c r="C43" i="25" s="1"/>
  <c r="D992" i="24"/>
  <c r="C44" i="25" s="1"/>
  <c r="G682" i="24"/>
  <c r="G689" i="24"/>
  <c r="G696" i="24"/>
  <c r="G703" i="24"/>
  <c r="G710" i="24"/>
  <c r="G717" i="24"/>
  <c r="G664" i="24" s="1"/>
  <c r="G724" i="24"/>
  <c r="G731" i="24"/>
  <c r="G668" i="24" s="1"/>
  <c r="G738" i="24"/>
  <c r="G744" i="24"/>
  <c r="D682" i="24"/>
  <c r="D689" i="24"/>
  <c r="D696" i="24"/>
  <c r="D703" i="24"/>
  <c r="D710" i="24"/>
  <c r="D717" i="24"/>
  <c r="D664" i="24" s="1"/>
  <c r="D724" i="24"/>
  <c r="D731" i="24"/>
  <c r="D668" i="24" s="1"/>
  <c r="D738" i="24"/>
  <c r="D744" i="24"/>
  <c r="G588" i="24"/>
  <c r="G595" i="24"/>
  <c r="G602" i="24"/>
  <c r="G609" i="24"/>
  <c r="G616" i="24"/>
  <c r="G623" i="24"/>
  <c r="G570" i="24" s="1"/>
  <c r="F29" i="25" s="1"/>
  <c r="G630" i="24"/>
  <c r="G637" i="24"/>
  <c r="G574" i="24" s="1"/>
  <c r="G644" i="24"/>
  <c r="G650" i="24"/>
  <c r="D588" i="24"/>
  <c r="D595" i="24"/>
  <c r="D602" i="24"/>
  <c r="D609" i="24"/>
  <c r="D616" i="24"/>
  <c r="D623" i="24"/>
  <c r="D570" i="24" s="1"/>
  <c r="C29" i="25" s="1"/>
  <c r="D630" i="24"/>
  <c r="D637" i="24"/>
  <c r="D574" i="24" s="1"/>
  <c r="D644" i="24"/>
  <c r="D650" i="24"/>
  <c r="G514" i="24"/>
  <c r="G512" i="24"/>
  <c r="G747" i="24" s="1"/>
  <c r="F28" i="25" s="1"/>
  <c r="E5" i="1" s="1"/>
  <c r="G749" i="24"/>
  <c r="F31" i="25" s="1"/>
  <c r="E7" i="1" s="1"/>
  <c r="D514" i="24"/>
  <c r="D512" i="24"/>
  <c r="D747" i="24" s="1"/>
  <c r="C28" i="25" s="1"/>
  <c r="D749" i="24"/>
  <c r="C31" i="25" s="1"/>
  <c r="I682" i="24"/>
  <c r="I689" i="24"/>
  <c r="I696" i="24"/>
  <c r="I703" i="24"/>
  <c r="I710" i="24"/>
  <c r="I717" i="24"/>
  <c r="I664" i="24" s="1"/>
  <c r="I724" i="24"/>
  <c r="I731" i="24"/>
  <c r="I668" i="24" s="1"/>
  <c r="I738" i="24"/>
  <c r="I744" i="24"/>
  <c r="I588" i="24"/>
  <c r="I749" i="24" s="1"/>
  <c r="H31" i="25" s="1"/>
  <c r="G7" i="1" s="1"/>
  <c r="I595" i="24"/>
  <c r="I750" i="24" s="1"/>
  <c r="H33" i="25" s="1"/>
  <c r="G8" i="1" s="1"/>
  <c r="I602" i="24"/>
  <c r="I751" i="24" s="1"/>
  <c r="H32" i="25" s="1"/>
  <c r="G9" i="1" s="1"/>
  <c r="I609" i="24"/>
  <c r="I746" i="24" s="1"/>
  <c r="H27" i="25" s="1"/>
  <c r="G4" i="1" s="1"/>
  <c r="I616" i="24"/>
  <c r="I747" i="24" s="1"/>
  <c r="H28" i="25" s="1"/>
  <c r="G5" i="1" s="1"/>
  <c r="I623" i="24"/>
  <c r="I570" i="24" s="1"/>
  <c r="H29" i="25" s="1"/>
  <c r="I630" i="24"/>
  <c r="I637" i="24"/>
  <c r="I574" i="24" s="1"/>
  <c r="H34" i="25" s="1"/>
  <c r="I644" i="24"/>
  <c r="I752" i="24" s="1"/>
  <c r="H35" i="25" s="1"/>
  <c r="G10" i="1" s="1"/>
  <c r="I650" i="24"/>
  <c r="I753" i="24" s="1"/>
  <c r="H36" i="25" s="1"/>
  <c r="G11" i="1" s="1"/>
  <c r="H682" i="24"/>
  <c r="H689" i="24"/>
  <c r="H696" i="24"/>
  <c r="H703" i="24"/>
  <c r="H710" i="24"/>
  <c r="H717" i="24"/>
  <c r="H664" i="24" s="1"/>
  <c r="H724" i="24"/>
  <c r="H731" i="24"/>
  <c r="H668" i="24" s="1"/>
  <c r="H738" i="24"/>
  <c r="H744" i="24"/>
  <c r="H588" i="24"/>
  <c r="H595" i="24"/>
  <c r="H602" i="24"/>
  <c r="H609" i="24"/>
  <c r="H616" i="24"/>
  <c r="H623" i="24"/>
  <c r="H570" i="24" s="1"/>
  <c r="G29" i="25" s="1"/>
  <c r="H630" i="24"/>
  <c r="H637" i="24"/>
  <c r="H574" i="24" s="1"/>
  <c r="H644" i="24"/>
  <c r="H650" i="24"/>
  <c r="F682" i="24"/>
  <c r="F689" i="24"/>
  <c r="F696" i="24"/>
  <c r="F703" i="24"/>
  <c r="F710" i="24"/>
  <c r="F717" i="24"/>
  <c r="F664" i="24" s="1"/>
  <c r="F724" i="24"/>
  <c r="F731" i="24"/>
  <c r="F668" i="24" s="1"/>
  <c r="F738" i="24"/>
  <c r="F744" i="24"/>
  <c r="F588" i="24"/>
  <c r="F595" i="24"/>
  <c r="F602" i="24"/>
  <c r="F609" i="24"/>
  <c r="F616" i="24"/>
  <c r="F623" i="24"/>
  <c r="F570" i="24" s="1"/>
  <c r="E29" i="25" s="1"/>
  <c r="F630" i="24"/>
  <c r="F637" i="24"/>
  <c r="F574" i="24" s="1"/>
  <c r="F644" i="24"/>
  <c r="F650" i="24"/>
  <c r="E682" i="24"/>
  <c r="E689" i="24"/>
  <c r="E696" i="24"/>
  <c r="E703" i="24"/>
  <c r="E710" i="24"/>
  <c r="E717" i="24"/>
  <c r="E664" i="24" s="1"/>
  <c r="E724" i="24"/>
  <c r="E731" i="24"/>
  <c r="E668" i="24" s="1"/>
  <c r="E738" i="24"/>
  <c r="E744" i="24"/>
  <c r="E588" i="24"/>
  <c r="E595" i="24"/>
  <c r="E602" i="24"/>
  <c r="E609" i="24"/>
  <c r="E616" i="24"/>
  <c r="E623" i="24"/>
  <c r="E570" i="24" s="1"/>
  <c r="D29" i="25" s="1"/>
  <c r="E630" i="24"/>
  <c r="E637" i="24"/>
  <c r="E574" i="24" s="1"/>
  <c r="E644" i="24"/>
  <c r="E650" i="24"/>
  <c r="I748" i="24"/>
  <c r="H30" i="25" s="1"/>
  <c r="G6" i="1" s="1"/>
  <c r="H514" i="24"/>
  <c r="H512" i="24"/>
  <c r="H747" i="24" s="1"/>
  <c r="G28" i="25" s="1"/>
  <c r="F5" i="1" s="1"/>
  <c r="H749" i="24"/>
  <c r="G31" i="25" s="1"/>
  <c r="F7" i="1" s="1"/>
  <c r="F514" i="24"/>
  <c r="F512" i="24"/>
  <c r="F747" i="24" s="1"/>
  <c r="E28" i="25" s="1"/>
  <c r="D5" i="1" s="1"/>
  <c r="F749" i="24"/>
  <c r="E31" i="25" s="1"/>
  <c r="D7" i="1" s="1"/>
  <c r="E514" i="24"/>
  <c r="E512" i="24"/>
  <c r="E747" i="24" s="1"/>
  <c r="D28" i="25" s="1"/>
  <c r="C5" i="1" s="1"/>
  <c r="E749" i="24"/>
  <c r="D31" i="25" s="1"/>
  <c r="C7" i="1" s="1"/>
  <c r="H325" i="24"/>
  <c r="H332" i="24"/>
  <c r="H339" i="24"/>
  <c r="H346" i="24"/>
  <c r="H353" i="24"/>
  <c r="H360" i="24"/>
  <c r="H367" i="24"/>
  <c r="H374" i="24"/>
  <c r="H381" i="24"/>
  <c r="H387" i="24"/>
  <c r="G325" i="24"/>
  <c r="G332" i="24"/>
  <c r="G339" i="24"/>
  <c r="G346" i="24"/>
  <c r="G353" i="24"/>
  <c r="G360" i="24"/>
  <c r="G367" i="24"/>
  <c r="G374" i="24"/>
  <c r="G381" i="24"/>
  <c r="G387" i="24"/>
  <c r="D325" i="24"/>
  <c r="D332" i="24"/>
  <c r="D339" i="24"/>
  <c r="D346" i="24"/>
  <c r="D353" i="24"/>
  <c r="D360" i="24"/>
  <c r="D367" i="24"/>
  <c r="D374" i="24"/>
  <c r="D381" i="24"/>
  <c r="D387" i="24"/>
  <c r="H233" i="24"/>
  <c r="H240" i="24"/>
  <c r="H247" i="24"/>
  <c r="H254" i="24"/>
  <c r="H261" i="24"/>
  <c r="H390" i="24" s="1"/>
  <c r="G16" i="25" s="1"/>
  <c r="H268" i="24"/>
  <c r="H391" i="24" s="1"/>
  <c r="G17" i="25" s="1"/>
  <c r="H275" i="24"/>
  <c r="H282" i="24"/>
  <c r="H396" i="24" s="1"/>
  <c r="G22" i="25" s="1"/>
  <c r="H289" i="24"/>
  <c r="H295" i="24"/>
  <c r="G19" i="26"/>
  <c r="G18" i="26"/>
  <c r="G17" i="26"/>
  <c r="G16" i="26"/>
  <c r="G15" i="26"/>
  <c r="F59" i="1"/>
  <c r="G233" i="24"/>
  <c r="G240" i="24"/>
  <c r="G247" i="24"/>
  <c r="G254" i="24"/>
  <c r="G261" i="24"/>
  <c r="G390" i="24" s="1"/>
  <c r="F16" i="25" s="1"/>
  <c r="G268" i="24"/>
  <c r="G391" i="24" s="1"/>
  <c r="F17" i="25" s="1"/>
  <c r="G275" i="24"/>
  <c r="G282" i="24"/>
  <c r="G396" i="24" s="1"/>
  <c r="F22" i="25" s="1"/>
  <c r="G289" i="24"/>
  <c r="G295" i="24"/>
  <c r="F19" i="26"/>
  <c r="F18" i="26"/>
  <c r="F17" i="26"/>
  <c r="F16" i="26"/>
  <c r="F15" i="26"/>
  <c r="E59" i="1"/>
  <c r="D233" i="24"/>
  <c r="D240" i="24"/>
  <c r="D247" i="24"/>
  <c r="D254" i="24"/>
  <c r="D261" i="24"/>
  <c r="D390" i="24" s="1"/>
  <c r="C16" i="25" s="1"/>
  <c r="D268" i="24"/>
  <c r="D391" i="24" s="1"/>
  <c r="C17" i="25" s="1"/>
  <c r="D275" i="24"/>
  <c r="D282" i="24"/>
  <c r="D396" i="24" s="1"/>
  <c r="C22" i="25" s="1"/>
  <c r="D289" i="24"/>
  <c r="D295" i="24"/>
  <c r="C19" i="26"/>
  <c r="C18" i="26"/>
  <c r="C17" i="26"/>
  <c r="C16" i="26"/>
  <c r="C15" i="26"/>
  <c r="B59" i="1"/>
  <c r="H167" i="24"/>
  <c r="H170" i="24" s="1"/>
  <c r="H398" i="24" s="1"/>
  <c r="G24" i="25" s="1"/>
  <c r="H162" i="24"/>
  <c r="H165" i="24" s="1"/>
  <c r="H157" i="24"/>
  <c r="H160" i="24" s="1"/>
  <c r="H152" i="24"/>
  <c r="H155" i="24" s="1"/>
  <c r="H147" i="24"/>
  <c r="H150" i="24" s="1"/>
  <c r="H142" i="24"/>
  <c r="H145" i="24" s="1"/>
  <c r="H140" i="24"/>
  <c r="G167" i="24"/>
  <c r="G170" i="24" s="1"/>
  <c r="G398" i="24" s="1"/>
  <c r="F24" i="25" s="1"/>
  <c r="G162" i="24"/>
  <c r="G165" i="24" s="1"/>
  <c r="G157" i="24"/>
  <c r="G160" i="24" s="1"/>
  <c r="G152" i="24"/>
  <c r="G155" i="24" s="1"/>
  <c r="G147" i="24"/>
  <c r="G150" i="24" s="1"/>
  <c r="G142" i="24"/>
  <c r="G145" i="24" s="1"/>
  <c r="G140" i="24"/>
  <c r="F167" i="24"/>
  <c r="F170" i="24" s="1"/>
  <c r="F162" i="24"/>
  <c r="F165" i="24" s="1"/>
  <c r="F157" i="24"/>
  <c r="F160" i="24" s="1"/>
  <c r="F152" i="24"/>
  <c r="F155" i="24" s="1"/>
  <c r="F147" i="24"/>
  <c r="F150" i="24" s="1"/>
  <c r="F142" i="24"/>
  <c r="F145" i="24" s="1"/>
  <c r="F140" i="24"/>
  <c r="E167" i="24"/>
  <c r="E170" i="24" s="1"/>
  <c r="E162" i="24"/>
  <c r="E165" i="24" s="1"/>
  <c r="E157" i="24"/>
  <c r="E160" i="24" s="1"/>
  <c r="E152" i="24"/>
  <c r="E155" i="24" s="1"/>
  <c r="E147" i="24"/>
  <c r="E150" i="24" s="1"/>
  <c r="E142" i="24"/>
  <c r="E145" i="24" s="1"/>
  <c r="E140" i="24"/>
  <c r="D167" i="24"/>
  <c r="D170" i="24" s="1"/>
  <c r="D398" i="24" s="1"/>
  <c r="C24" i="25" s="1"/>
  <c r="D162" i="24"/>
  <c r="D165" i="24" s="1"/>
  <c r="D157" i="24"/>
  <c r="D160" i="24" s="1"/>
  <c r="D152" i="24"/>
  <c r="D155" i="24" s="1"/>
  <c r="D147" i="24"/>
  <c r="D150" i="24" s="1"/>
  <c r="D142" i="24"/>
  <c r="D145" i="24" s="1"/>
  <c r="D392" i="24" s="1"/>
  <c r="C18" i="25" s="1"/>
  <c r="D140" i="24"/>
  <c r="D389" i="24" s="1"/>
  <c r="C15" i="25" s="1"/>
  <c r="I167" i="24"/>
  <c r="I170" i="24" s="1"/>
  <c r="I162" i="24"/>
  <c r="I165" i="24" s="1"/>
  <c r="I157" i="24"/>
  <c r="I160" i="24" s="1"/>
  <c r="I152" i="24"/>
  <c r="I155" i="24" s="1"/>
  <c r="I147" i="24"/>
  <c r="I150" i="24" s="1"/>
  <c r="I142" i="24"/>
  <c r="I145" i="24" s="1"/>
  <c r="H389" i="24"/>
  <c r="G15" i="25" s="1"/>
  <c r="H392" i="24"/>
  <c r="G18" i="25" s="1"/>
  <c r="G389" i="24"/>
  <c r="F15" i="25" s="1"/>
  <c r="G392" i="24"/>
  <c r="F18" i="25" s="1"/>
  <c r="H393" i="24"/>
  <c r="G19" i="25" s="1"/>
  <c r="H394" i="24"/>
  <c r="G20" i="25" s="1"/>
  <c r="H395" i="24"/>
  <c r="G21" i="25" s="1"/>
  <c r="H397" i="24"/>
  <c r="G23" i="25" s="1"/>
  <c r="G393" i="24"/>
  <c r="F19" i="25" s="1"/>
  <c r="G394" i="24"/>
  <c r="F20" i="25" s="1"/>
  <c r="G395" i="24"/>
  <c r="F21" i="25" s="1"/>
  <c r="G397" i="24"/>
  <c r="F23" i="25" s="1"/>
  <c r="D393" i="24"/>
  <c r="C19" i="25" s="1"/>
  <c r="D394" i="24"/>
  <c r="C20" i="25" s="1"/>
  <c r="D395" i="24"/>
  <c r="C21" i="25" s="1"/>
  <c r="D397" i="24"/>
  <c r="C23" i="25" s="1"/>
  <c r="I325" i="24"/>
  <c r="I332" i="24"/>
  <c r="I339" i="24"/>
  <c r="I346" i="24"/>
  <c r="I353" i="24"/>
  <c r="I360" i="24"/>
  <c r="I367" i="24"/>
  <c r="I374" i="24"/>
  <c r="I381" i="24"/>
  <c r="I387" i="24"/>
  <c r="I233" i="24"/>
  <c r="I393" i="24" s="1"/>
  <c r="H19" i="25" s="1"/>
  <c r="I240" i="24"/>
  <c r="I395" i="24" s="1"/>
  <c r="H21" i="25" s="1"/>
  <c r="I247" i="24"/>
  <c r="I394" i="24" s="1"/>
  <c r="H20" i="25" s="1"/>
  <c r="I254" i="24"/>
  <c r="I261" i="24"/>
  <c r="I390" i="24" s="1"/>
  <c r="H16" i="25" s="1"/>
  <c r="I268" i="24"/>
  <c r="I391" i="24" s="1"/>
  <c r="H17" i="25" s="1"/>
  <c r="I275" i="24"/>
  <c r="I282" i="24"/>
  <c r="I396" i="24" s="1"/>
  <c r="H22" i="25" s="1"/>
  <c r="I289" i="24"/>
  <c r="I397" i="24" s="1"/>
  <c r="H23" i="25" s="1"/>
  <c r="I295" i="24"/>
  <c r="H19" i="26"/>
  <c r="H18" i="26"/>
  <c r="H17" i="26"/>
  <c r="H16" i="26"/>
  <c r="H15" i="26"/>
  <c r="G59" i="1"/>
  <c r="F325" i="24"/>
  <c r="F332" i="24"/>
  <c r="F339" i="24"/>
  <c r="F346" i="24"/>
  <c r="F353" i="24"/>
  <c r="F360" i="24"/>
  <c r="F367" i="24"/>
  <c r="F374" i="24"/>
  <c r="F381" i="24"/>
  <c r="F387" i="24"/>
  <c r="F233" i="24"/>
  <c r="F393" i="24" s="1"/>
  <c r="E19" i="25" s="1"/>
  <c r="F240" i="24"/>
  <c r="F395" i="24" s="1"/>
  <c r="E21" i="25" s="1"/>
  <c r="F247" i="24"/>
  <c r="F394" i="24" s="1"/>
  <c r="E20" i="25" s="1"/>
  <c r="F254" i="24"/>
  <c r="F389" i="24" s="1"/>
  <c r="E15" i="25" s="1"/>
  <c r="F261" i="24"/>
  <c r="F390" i="24" s="1"/>
  <c r="E16" i="25" s="1"/>
  <c r="F268" i="24"/>
  <c r="F391" i="24" s="1"/>
  <c r="E17" i="25" s="1"/>
  <c r="F275" i="24"/>
  <c r="F392" i="24" s="1"/>
  <c r="E18" i="25" s="1"/>
  <c r="F282" i="24"/>
  <c r="F396" i="24" s="1"/>
  <c r="E22" i="25" s="1"/>
  <c r="F289" i="24"/>
  <c r="F397" i="24" s="1"/>
  <c r="E23" i="25" s="1"/>
  <c r="F295" i="24"/>
  <c r="E19" i="26"/>
  <c r="E18" i="26"/>
  <c r="E17" i="26"/>
  <c r="E16" i="26"/>
  <c r="E15" i="26"/>
  <c r="D59" i="1"/>
  <c r="E325" i="24"/>
  <c r="E332" i="24"/>
  <c r="E339" i="24"/>
  <c r="E346" i="24"/>
  <c r="E353" i="24"/>
  <c r="E360" i="24"/>
  <c r="E367" i="24"/>
  <c r="E374" i="24"/>
  <c r="E381" i="24"/>
  <c r="E387" i="24"/>
  <c r="E233" i="24"/>
  <c r="E393" i="24" s="1"/>
  <c r="D19" i="25" s="1"/>
  <c r="E240" i="24"/>
  <c r="E395" i="24" s="1"/>
  <c r="D21" i="25" s="1"/>
  <c r="E247" i="24"/>
  <c r="E394" i="24" s="1"/>
  <c r="D20" i="25" s="1"/>
  <c r="E254" i="24"/>
  <c r="E389" i="24" s="1"/>
  <c r="D15" i="25" s="1"/>
  <c r="E261" i="24"/>
  <c r="E390" i="24" s="1"/>
  <c r="D16" i="25" s="1"/>
  <c r="E268" i="24"/>
  <c r="E391" i="24" s="1"/>
  <c r="D17" i="25" s="1"/>
  <c r="E275" i="24"/>
  <c r="E392" i="24" s="1"/>
  <c r="D18" i="25" s="1"/>
  <c r="E282" i="24"/>
  <c r="E396" i="24" s="1"/>
  <c r="D22" i="25" s="1"/>
  <c r="E289" i="24"/>
  <c r="E397" i="24" s="1"/>
  <c r="D23" i="25" s="1"/>
  <c r="E295" i="24"/>
  <c r="D19" i="26"/>
  <c r="D18" i="26"/>
  <c r="D17" i="26"/>
  <c r="D16" i="26"/>
  <c r="D15" i="26"/>
  <c r="C59" i="1"/>
  <c r="I389" i="24"/>
  <c r="H15" i="25" s="1"/>
  <c r="I392" i="24"/>
  <c r="H18" i="25" s="1"/>
  <c r="AH72" i="23"/>
  <c r="AF76" i="23" s="1"/>
  <c r="AI76" i="23" s="1"/>
  <c r="AF66" i="23"/>
  <c r="AJ66" i="23" s="1"/>
  <c r="X72" i="23"/>
  <c r="V76" i="23" s="1"/>
  <c r="Y76" i="23" s="1"/>
  <c r="V66" i="23"/>
  <c r="Z66" i="23" s="1"/>
  <c r="N72" i="23"/>
  <c r="L76" i="23" s="1"/>
  <c r="O76" i="23" s="1"/>
  <c r="L66" i="23"/>
  <c r="P66" i="23" s="1"/>
  <c r="D72" i="23"/>
  <c r="B76" i="23" s="1"/>
  <c r="E76" i="23" s="1"/>
  <c r="B66" i="23"/>
  <c r="F66" i="23" s="1"/>
  <c r="N79" i="22"/>
  <c r="L83" i="22" s="1"/>
  <c r="O83" i="22" s="1"/>
  <c r="L73" i="22"/>
  <c r="O73" i="22" s="1"/>
  <c r="D79" i="22"/>
  <c r="B83" i="22" s="1"/>
  <c r="E83" i="22" s="1"/>
  <c r="B73" i="22"/>
  <c r="E73" i="22" s="1"/>
  <c r="N79" i="21"/>
  <c r="L83" i="21" s="1"/>
  <c r="O83" i="21" s="1"/>
  <c r="L73" i="21"/>
  <c r="P73" i="21" s="1"/>
  <c r="D79" i="21"/>
  <c r="B83" i="21" s="1"/>
  <c r="E83" i="21" s="1"/>
  <c r="B73" i="21"/>
  <c r="F73" i="21" s="1"/>
  <c r="N68" i="20"/>
  <c r="L72" i="20" s="1"/>
  <c r="O72" i="20" s="1"/>
  <c r="L62" i="20"/>
  <c r="O62" i="20" s="1"/>
  <c r="D68" i="20"/>
  <c r="B72" i="20" s="1"/>
  <c r="E72" i="20" s="1"/>
  <c r="B62" i="20"/>
  <c r="E62" i="20" s="1"/>
  <c r="N77" i="19"/>
  <c r="L81" i="19" s="1"/>
  <c r="O81" i="19" s="1"/>
  <c r="L71" i="19"/>
  <c r="D77" i="19"/>
  <c r="B81" i="19" s="1"/>
  <c r="E81" i="19" s="1"/>
  <c r="B71" i="19"/>
  <c r="M24" i="17"/>
  <c r="Q24" i="17" s="1"/>
  <c r="M32" i="17"/>
  <c r="Q32" i="17" s="1"/>
  <c r="M45" i="17"/>
  <c r="Q45" i="17" s="1"/>
  <c r="M53" i="17"/>
  <c r="Q53" i="17" s="1"/>
  <c r="B24" i="17"/>
  <c r="F24" i="17" s="1"/>
  <c r="B32" i="17"/>
  <c r="F32" i="17" s="1"/>
  <c r="B45" i="17"/>
  <c r="F45" i="17" s="1"/>
  <c r="B53" i="17"/>
  <c r="F53" i="17" s="1"/>
  <c r="M78" i="14"/>
  <c r="K82" i="14" s="1"/>
  <c r="J72" i="14"/>
  <c r="M72" i="14" s="1"/>
  <c r="D78" i="14"/>
  <c r="B82" i="14" s="1"/>
  <c r="B72" i="14"/>
  <c r="E72" i="14" s="1"/>
  <c r="B23" i="15"/>
  <c r="B29" i="15"/>
  <c r="B35" i="15"/>
  <c r="B41" i="15"/>
  <c r="B47" i="15"/>
  <c r="B53" i="15"/>
  <c r="B59" i="15"/>
  <c r="B65" i="15"/>
  <c r="B71" i="15"/>
  <c r="B77" i="15"/>
  <c r="B12" i="12"/>
  <c r="F18" i="11"/>
  <c r="B74" i="10"/>
  <c r="B77" i="10" s="1"/>
  <c r="B68" i="10"/>
  <c r="B71" i="10" s="1"/>
  <c r="B62" i="10"/>
  <c r="B65" i="10" s="1"/>
  <c r="B56" i="10"/>
  <c r="B59" i="10" s="1"/>
  <c r="B50" i="10"/>
  <c r="B53" i="10" s="1"/>
  <c r="B44" i="10"/>
  <c r="B47" i="10" s="1"/>
  <c r="B38" i="10"/>
  <c r="B41" i="10" s="1"/>
  <c r="B32" i="10"/>
  <c r="B35" i="10" s="1"/>
  <c r="B26" i="10"/>
  <c r="B29" i="10" s="1"/>
  <c r="B20" i="10"/>
  <c r="B23" i="10" s="1"/>
  <c r="B74" i="9"/>
  <c r="B77" i="9" s="1"/>
  <c r="B68" i="9"/>
  <c r="B71" i="9" s="1"/>
  <c r="B62" i="9"/>
  <c r="B65" i="9" s="1"/>
  <c r="B56" i="9"/>
  <c r="B59" i="9" s="1"/>
  <c r="B50" i="9"/>
  <c r="B53" i="9" s="1"/>
  <c r="B44" i="9"/>
  <c r="B47" i="9" s="1"/>
  <c r="B38" i="9"/>
  <c r="B41" i="9" s="1"/>
  <c r="B32" i="9"/>
  <c r="B35" i="9" s="1"/>
  <c r="B26" i="9"/>
  <c r="B29" i="9" s="1"/>
  <c r="B20" i="9"/>
  <c r="B23" i="9" s="1"/>
  <c r="D57" i="8"/>
  <c r="B60" i="8" s="1"/>
  <c r="D23" i="8"/>
  <c r="B23" i="6"/>
  <c r="B29" i="6"/>
  <c r="B35" i="6"/>
  <c r="B41" i="6"/>
  <c r="B47" i="6"/>
  <c r="B53" i="6"/>
  <c r="B59" i="6"/>
  <c r="B65" i="6"/>
  <c r="B71" i="6"/>
  <c r="B77" i="6"/>
  <c r="B23" i="5"/>
  <c r="B29" i="5"/>
  <c r="B35" i="5"/>
  <c r="B41" i="5"/>
  <c r="B47" i="5"/>
  <c r="B53" i="5"/>
  <c r="B59" i="5"/>
  <c r="B65" i="5"/>
  <c r="B71" i="5"/>
  <c r="B77" i="5"/>
  <c r="F77" i="5" l="1"/>
  <c r="E13" i="5" s="1"/>
  <c r="D13" i="5"/>
  <c r="F71" i="5"/>
  <c r="E12" i="5" s="1"/>
  <c r="D12" i="5"/>
  <c r="F65" i="5"/>
  <c r="E11" i="5" s="1"/>
  <c r="D11" i="5"/>
  <c r="F59" i="5"/>
  <c r="E10" i="5" s="1"/>
  <c r="D10" i="5"/>
  <c r="F53" i="5"/>
  <c r="E9" i="5" s="1"/>
  <c r="D9" i="5"/>
  <c r="F47" i="5"/>
  <c r="E8" i="5" s="1"/>
  <c r="D8" i="5"/>
  <c r="F41" i="5"/>
  <c r="E7" i="5" s="1"/>
  <c r="D7" i="5"/>
  <c r="F35" i="5"/>
  <c r="E6" i="5" s="1"/>
  <c r="D6" i="5"/>
  <c r="F29" i="5"/>
  <c r="E5" i="5" s="1"/>
  <c r="D5" i="5"/>
  <c r="F23" i="5"/>
  <c r="E4" i="5" s="1"/>
  <c r="D4" i="5"/>
  <c r="F77" i="6"/>
  <c r="E13" i="6" s="1"/>
  <c r="D13" i="6"/>
  <c r="F71" i="6"/>
  <c r="E12" i="6" s="1"/>
  <c r="D12" i="6"/>
  <c r="F65" i="6"/>
  <c r="E11" i="6" s="1"/>
  <c r="D11" i="6"/>
  <c r="F59" i="6"/>
  <c r="E10" i="6" s="1"/>
  <c r="D10" i="6"/>
  <c r="F53" i="6"/>
  <c r="E9" i="6" s="1"/>
  <c r="D9" i="6"/>
  <c r="F47" i="6"/>
  <c r="E8" i="6" s="1"/>
  <c r="D8" i="6"/>
  <c r="F41" i="6"/>
  <c r="E7" i="6" s="1"/>
  <c r="D7" i="6"/>
  <c r="F35" i="6"/>
  <c r="E6" i="6" s="1"/>
  <c r="D6" i="6"/>
  <c r="F29" i="6"/>
  <c r="E5" i="6" s="1"/>
  <c r="D5" i="6"/>
  <c r="F23" i="6"/>
  <c r="E4" i="6" s="1"/>
  <c r="D4" i="6"/>
  <c r="D31" i="8"/>
  <c r="B26" i="8"/>
  <c r="F23" i="9"/>
  <c r="E4" i="9" s="1"/>
  <c r="D4" i="9"/>
  <c r="F29" i="9"/>
  <c r="E5" i="9" s="1"/>
  <c r="D5" i="9"/>
  <c r="F35" i="9"/>
  <c r="E6" i="9" s="1"/>
  <c r="D6" i="9"/>
  <c r="F41" i="9"/>
  <c r="E7" i="9" s="1"/>
  <c r="D7" i="9"/>
  <c r="F47" i="9"/>
  <c r="E8" i="9" s="1"/>
  <c r="D8" i="9"/>
  <c r="F53" i="9"/>
  <c r="E9" i="9" s="1"/>
  <c r="D9" i="9"/>
  <c r="F59" i="9"/>
  <c r="E10" i="9" s="1"/>
  <c r="D10" i="9"/>
  <c r="F65" i="9"/>
  <c r="E11" i="9" s="1"/>
  <c r="D11" i="9"/>
  <c r="F71" i="9"/>
  <c r="E12" i="9" s="1"/>
  <c r="D12" i="9"/>
  <c r="F77" i="9"/>
  <c r="E13" i="9" s="1"/>
  <c r="D13" i="9"/>
  <c r="F23" i="10"/>
  <c r="E4" i="10" s="1"/>
  <c r="D4" i="10"/>
  <c r="F29" i="10"/>
  <c r="E5" i="10" s="1"/>
  <c r="D5" i="10"/>
  <c r="F35" i="10"/>
  <c r="E6" i="10" s="1"/>
  <c r="D6" i="10"/>
  <c r="F41" i="10"/>
  <c r="E7" i="10" s="1"/>
  <c r="D7" i="10"/>
  <c r="F47" i="10"/>
  <c r="E8" i="10" s="1"/>
  <c r="D8" i="10"/>
  <c r="F53" i="10"/>
  <c r="E9" i="10" s="1"/>
  <c r="D9" i="10"/>
  <c r="F59" i="10"/>
  <c r="E10" i="10" s="1"/>
  <c r="D10" i="10"/>
  <c r="F65" i="10"/>
  <c r="E11" i="10" s="1"/>
  <c r="D11" i="10"/>
  <c r="F71" i="10"/>
  <c r="E12" i="10" s="1"/>
  <c r="D12" i="10"/>
  <c r="F77" i="10"/>
  <c r="E13" i="10" s="1"/>
  <c r="D13" i="10"/>
  <c r="D78" i="12"/>
  <c r="B82" i="12" s="1"/>
  <c r="D68" i="12"/>
  <c r="B72" i="12" s="1"/>
  <c r="D58" i="12"/>
  <c r="B62" i="12" s="1"/>
  <c r="D48" i="12"/>
  <c r="B52" i="12" s="1"/>
  <c r="D38" i="12"/>
  <c r="B42" i="12" s="1"/>
  <c r="D28" i="12"/>
  <c r="B32" i="12" s="1"/>
  <c r="D18" i="12"/>
  <c r="B22" i="12" s="1"/>
  <c r="F77" i="15"/>
  <c r="E13" i="15" s="1"/>
  <c r="D13" i="15"/>
  <c r="F71" i="15"/>
  <c r="E12" i="15" s="1"/>
  <c r="D12" i="15"/>
  <c r="F65" i="15"/>
  <c r="E11" i="15" s="1"/>
  <c r="D11" i="15"/>
  <c r="F59" i="15"/>
  <c r="E10" i="15" s="1"/>
  <c r="D10" i="15"/>
  <c r="F53" i="15"/>
  <c r="E9" i="15" s="1"/>
  <c r="D9" i="15"/>
  <c r="F47" i="15"/>
  <c r="E8" i="15" s="1"/>
  <c r="D8" i="15"/>
  <c r="F41" i="15"/>
  <c r="E7" i="15" s="1"/>
  <c r="D7" i="15"/>
  <c r="F35" i="15"/>
  <c r="E6" i="15" s="1"/>
  <c r="D6" i="15"/>
  <c r="F29" i="15"/>
  <c r="E5" i="15" s="1"/>
  <c r="D5" i="15"/>
  <c r="F23" i="15"/>
  <c r="E4" i="15" s="1"/>
  <c r="D4" i="15"/>
  <c r="H6" i="25"/>
  <c r="H26" i="26" s="1"/>
  <c r="H39" i="26" s="1"/>
  <c r="H6" i="26" s="1"/>
  <c r="G53" i="1"/>
  <c r="H3" i="25"/>
  <c r="H23" i="26" s="1"/>
  <c r="H36" i="26" s="1"/>
  <c r="H3" i="26" s="1"/>
  <c r="G50" i="1"/>
  <c r="C58" i="1"/>
  <c r="C57" i="1"/>
  <c r="C141" i="1" s="1"/>
  <c r="C153" i="1" s="1"/>
  <c r="C53" i="1"/>
  <c r="D5" i="25"/>
  <c r="D25" i="26" s="1"/>
  <c r="D38" i="26" s="1"/>
  <c r="D5" i="26" s="1"/>
  <c r="C52" i="1"/>
  <c r="D4" i="25"/>
  <c r="D24" i="26" s="1"/>
  <c r="D37" i="26" s="1"/>
  <c r="D4" i="26" s="1"/>
  <c r="C51" i="1"/>
  <c r="C50" i="1"/>
  <c r="C55" i="1"/>
  <c r="C56" i="1"/>
  <c r="C54" i="1"/>
  <c r="D58" i="1"/>
  <c r="D57" i="1"/>
  <c r="D141" i="1" s="1"/>
  <c r="D153" i="1" s="1"/>
  <c r="D53" i="1"/>
  <c r="E5" i="25"/>
  <c r="E25" i="26" s="1"/>
  <c r="E38" i="26" s="1"/>
  <c r="E5" i="26" s="1"/>
  <c r="D52" i="1"/>
  <c r="E4" i="25"/>
  <c r="E24" i="26" s="1"/>
  <c r="E37" i="26" s="1"/>
  <c r="E4" i="26" s="1"/>
  <c r="D51" i="1"/>
  <c r="D50" i="1"/>
  <c r="D55" i="1"/>
  <c r="D56" i="1"/>
  <c r="D54" i="1"/>
  <c r="H11" i="25"/>
  <c r="H31" i="26" s="1"/>
  <c r="H44" i="26" s="1"/>
  <c r="H11" i="26" s="1"/>
  <c r="G58" i="1"/>
  <c r="H10" i="25"/>
  <c r="H30" i="26" s="1"/>
  <c r="H43" i="26" s="1"/>
  <c r="H10" i="26" s="1"/>
  <c r="G57" i="1"/>
  <c r="G141" i="1" s="1"/>
  <c r="G153" i="1" s="1"/>
  <c r="H5" i="25"/>
  <c r="H25" i="26" s="1"/>
  <c r="H38" i="26" s="1"/>
  <c r="H5" i="26" s="1"/>
  <c r="G52" i="1"/>
  <c r="H4" i="25"/>
  <c r="H24" i="26" s="1"/>
  <c r="H37" i="26" s="1"/>
  <c r="H4" i="26" s="1"/>
  <c r="G51" i="1"/>
  <c r="H8" i="25"/>
  <c r="H28" i="26" s="1"/>
  <c r="H41" i="26" s="1"/>
  <c r="H8" i="26" s="1"/>
  <c r="G55" i="1"/>
  <c r="H9" i="25"/>
  <c r="H29" i="26" s="1"/>
  <c r="H42" i="26" s="1"/>
  <c r="H9" i="26" s="1"/>
  <c r="G56" i="1"/>
  <c r="G54" i="1"/>
  <c r="I23" i="25"/>
  <c r="B58" i="1"/>
  <c r="I21" i="25"/>
  <c r="B56" i="1"/>
  <c r="I20" i="25"/>
  <c r="B55" i="1"/>
  <c r="I19" i="25"/>
  <c r="B54" i="1"/>
  <c r="E58" i="1"/>
  <c r="E56" i="1"/>
  <c r="E55" i="1"/>
  <c r="E54" i="1"/>
  <c r="F58" i="1"/>
  <c r="F56" i="1"/>
  <c r="F55" i="1"/>
  <c r="F54" i="1"/>
  <c r="E53" i="1"/>
  <c r="E50" i="1"/>
  <c r="F53" i="1"/>
  <c r="F50" i="1"/>
  <c r="I398" i="24"/>
  <c r="H24" i="25" s="1"/>
  <c r="I15" i="25"/>
  <c r="B50" i="1"/>
  <c r="I18" i="25"/>
  <c r="B53" i="1"/>
  <c r="H53" i="1" s="1"/>
  <c r="B60" i="1"/>
  <c r="E398" i="24"/>
  <c r="D24" i="25" s="1"/>
  <c r="F398" i="24"/>
  <c r="E24" i="25" s="1"/>
  <c r="E60" i="1"/>
  <c r="F60" i="1"/>
  <c r="H59" i="1"/>
  <c r="I22" i="25"/>
  <c r="B57" i="1"/>
  <c r="I17" i="25"/>
  <c r="C5" i="25"/>
  <c r="B52" i="1"/>
  <c r="I16" i="25"/>
  <c r="C4" i="25"/>
  <c r="B51" i="1"/>
  <c r="E57" i="1"/>
  <c r="E141" i="1" s="1"/>
  <c r="E153" i="1" s="1"/>
  <c r="F5" i="25"/>
  <c r="F25" i="26" s="1"/>
  <c r="F38" i="26" s="1"/>
  <c r="F5" i="26" s="1"/>
  <c r="E52" i="1"/>
  <c r="F4" i="25"/>
  <c r="F24" i="26" s="1"/>
  <c r="F37" i="26" s="1"/>
  <c r="F4" i="26" s="1"/>
  <c r="E51" i="1"/>
  <c r="F57" i="1"/>
  <c r="F141" i="1" s="1"/>
  <c r="F153" i="1" s="1"/>
  <c r="G5" i="25"/>
  <c r="G25" i="26" s="1"/>
  <c r="G38" i="26" s="1"/>
  <c r="G5" i="26" s="1"/>
  <c r="F52" i="1"/>
  <c r="G4" i="25"/>
  <c r="G24" i="26" s="1"/>
  <c r="G37" i="26" s="1"/>
  <c r="G4" i="26" s="1"/>
  <c r="F51" i="1"/>
  <c r="E519" i="24"/>
  <c r="E517" i="24"/>
  <c r="E746" i="24" s="1"/>
  <c r="D27" i="25" s="1"/>
  <c r="F519" i="24"/>
  <c r="F517" i="24"/>
  <c r="F746" i="24" s="1"/>
  <c r="E27" i="25" s="1"/>
  <c r="H519" i="24"/>
  <c r="H517" i="24"/>
  <c r="H746" i="24" s="1"/>
  <c r="G27" i="25" s="1"/>
  <c r="G136" i="1"/>
  <c r="G148" i="1" s="1"/>
  <c r="G140" i="1"/>
  <c r="G152" i="1" s="1"/>
  <c r="G12" i="1"/>
  <c r="G138" i="1"/>
  <c r="G150" i="1" s="1"/>
  <c r="G139" i="1"/>
  <c r="G151" i="1" s="1"/>
  <c r="I31" i="25"/>
  <c r="B7" i="1"/>
  <c r="I28" i="25"/>
  <c r="B5" i="1"/>
  <c r="H5" i="1" s="1"/>
  <c r="D519" i="24"/>
  <c r="D517" i="24"/>
  <c r="D746" i="24" s="1"/>
  <c r="C27" i="25" s="1"/>
  <c r="G519" i="24"/>
  <c r="G517" i="24"/>
  <c r="G746" i="24" s="1"/>
  <c r="F27" i="25" s="1"/>
  <c r="I29" i="25"/>
  <c r="I44" i="25"/>
  <c r="B38" i="1"/>
  <c r="H38" i="1" s="1"/>
  <c r="I43" i="25"/>
  <c r="B37" i="1"/>
  <c r="H37" i="1" s="1"/>
  <c r="I42" i="25"/>
  <c r="B36" i="1"/>
  <c r="H36" i="1" s="1"/>
  <c r="I41" i="25"/>
  <c r="B35" i="1"/>
  <c r="H35" i="1" s="1"/>
  <c r="G33" i="1"/>
  <c r="I39" i="25"/>
  <c r="I45" i="25"/>
  <c r="B39" i="1"/>
  <c r="H39" i="1" s="1"/>
  <c r="I40" i="25"/>
  <c r="B34" i="1"/>
  <c r="H34" i="1" s="1"/>
  <c r="B40" i="1"/>
  <c r="B47" i="1" s="1"/>
  <c r="H33" i="1"/>
  <c r="H40" i="1" s="1"/>
  <c r="H47" i="1" s="1"/>
  <c r="C40" i="1"/>
  <c r="C47" i="1" s="1"/>
  <c r="D40" i="1"/>
  <c r="D47" i="1" s="1"/>
  <c r="E40" i="1"/>
  <c r="E47" i="1" s="1"/>
  <c r="F40" i="1"/>
  <c r="F47" i="1" s="1"/>
  <c r="I54" i="25"/>
  <c r="B16" i="1"/>
  <c r="H16" i="1" s="1"/>
  <c r="I52" i="25"/>
  <c r="B15" i="1"/>
  <c r="I56" i="25"/>
  <c r="B18" i="1"/>
  <c r="H18" i="1" s="1"/>
  <c r="I57" i="25"/>
  <c r="B19" i="1"/>
  <c r="H19" i="1" s="1"/>
  <c r="D1301" i="24"/>
  <c r="D1304" i="24" s="1"/>
  <c r="D1239" i="24" s="1"/>
  <c r="D1215" i="24"/>
  <c r="D1308" i="24" s="1"/>
  <c r="C55" i="25" s="1"/>
  <c r="E1301" i="24"/>
  <c r="E1304" i="24" s="1"/>
  <c r="E1239" i="24" s="1"/>
  <c r="E1215" i="24"/>
  <c r="E1308" i="24" s="1"/>
  <c r="D55" i="25" s="1"/>
  <c r="F1301" i="24"/>
  <c r="F1304" i="24" s="1"/>
  <c r="F1239" i="24" s="1"/>
  <c r="F1215" i="24"/>
  <c r="F1308" i="24" s="1"/>
  <c r="E55" i="25" s="1"/>
  <c r="G1301" i="24"/>
  <c r="G1304" i="24" s="1"/>
  <c r="G1239" i="24" s="1"/>
  <c r="G1215" i="24"/>
  <c r="G1308" i="24" s="1"/>
  <c r="F55" i="25" s="1"/>
  <c r="H1301" i="24"/>
  <c r="H1304" i="24" s="1"/>
  <c r="H1239" i="24" s="1"/>
  <c r="H1215" i="24"/>
  <c r="H1308" i="24" s="1"/>
  <c r="G55" i="25" s="1"/>
  <c r="I1301" i="24"/>
  <c r="I1304" i="24" s="1"/>
  <c r="I1239" i="24" s="1"/>
  <c r="I1312" i="24" s="1"/>
  <c r="H60" i="25" s="1"/>
  <c r="G21" i="1" s="1"/>
  <c r="I1215" i="24"/>
  <c r="I1308" i="24" s="1"/>
  <c r="H55" i="25" s="1"/>
  <c r="D1311" i="24"/>
  <c r="C59" i="25" s="1"/>
  <c r="D1312" i="24"/>
  <c r="C60" i="25" s="1"/>
  <c r="E1311" i="24"/>
  <c r="D59" i="25" s="1"/>
  <c r="C20" i="1" s="1"/>
  <c r="E1312" i="24"/>
  <c r="D60" i="25" s="1"/>
  <c r="C21" i="1" s="1"/>
  <c r="F1311" i="24"/>
  <c r="E59" i="25" s="1"/>
  <c r="D20" i="1" s="1"/>
  <c r="F1312" i="24"/>
  <c r="E60" i="25" s="1"/>
  <c r="D21" i="1" s="1"/>
  <c r="G1311" i="24"/>
  <c r="F59" i="25" s="1"/>
  <c r="E20" i="1" s="1"/>
  <c r="G1312" i="24"/>
  <c r="F60" i="25" s="1"/>
  <c r="E21" i="1" s="1"/>
  <c r="H1311" i="24"/>
  <c r="G59" i="25" s="1"/>
  <c r="F20" i="1" s="1"/>
  <c r="H1312" i="24"/>
  <c r="G60" i="25" s="1"/>
  <c r="F21" i="1" s="1"/>
  <c r="I68" i="25"/>
  <c r="B69" i="1"/>
  <c r="H69" i="1" s="1"/>
  <c r="I66" i="25"/>
  <c r="B67" i="1"/>
  <c r="H67" i="1" s="1"/>
  <c r="I64" i="25"/>
  <c r="B65" i="1"/>
  <c r="H65" i="1" s="1"/>
  <c r="I63" i="25"/>
  <c r="B64" i="1"/>
  <c r="C71" i="1"/>
  <c r="D71" i="1"/>
  <c r="F71" i="1"/>
  <c r="I77" i="25"/>
  <c r="B89" i="1"/>
  <c r="H89" i="1" s="1"/>
  <c r="I78" i="25"/>
  <c r="B90" i="1"/>
  <c r="H90" i="1" s="1"/>
  <c r="I76" i="25"/>
  <c r="B88" i="1"/>
  <c r="H88" i="1" s="1"/>
  <c r="I75" i="25"/>
  <c r="B87" i="1"/>
  <c r="H87" i="1" s="1"/>
  <c r="I74" i="25"/>
  <c r="B86" i="1"/>
  <c r="H86" i="1" s="1"/>
  <c r="I73" i="25"/>
  <c r="B85" i="1"/>
  <c r="H85" i="1" s="1"/>
  <c r="I72" i="25"/>
  <c r="B84" i="1"/>
  <c r="C91" i="1"/>
  <c r="D91" i="1"/>
  <c r="E91" i="1"/>
  <c r="F91" i="1"/>
  <c r="G91" i="1"/>
  <c r="I86" i="25"/>
  <c r="B119" i="1"/>
  <c r="H119" i="1" s="1"/>
  <c r="I87" i="25"/>
  <c r="B120" i="1"/>
  <c r="H120" i="1" s="1"/>
  <c r="I85" i="25"/>
  <c r="B118" i="1"/>
  <c r="H118" i="1" s="1"/>
  <c r="I84" i="25"/>
  <c r="B117" i="1"/>
  <c r="H117" i="1" s="1"/>
  <c r="I83" i="25"/>
  <c r="B116" i="1"/>
  <c r="H116" i="1" s="1"/>
  <c r="I82" i="25"/>
  <c r="B115" i="1"/>
  <c r="H115" i="1" s="1"/>
  <c r="I81" i="25"/>
  <c r="B114" i="1"/>
  <c r="C121" i="1"/>
  <c r="D121" i="1"/>
  <c r="E121" i="1"/>
  <c r="F121" i="1"/>
  <c r="G121" i="1"/>
  <c r="I95" i="25"/>
  <c r="B109" i="1"/>
  <c r="H109" i="1" s="1"/>
  <c r="I96" i="25"/>
  <c r="B110" i="1"/>
  <c r="H110" i="1" s="1"/>
  <c r="I94" i="25"/>
  <c r="B108" i="1"/>
  <c r="H108" i="1" s="1"/>
  <c r="I93" i="25"/>
  <c r="B107" i="1"/>
  <c r="H107" i="1" s="1"/>
  <c r="I92" i="25"/>
  <c r="B106" i="1"/>
  <c r="H106" i="1" s="1"/>
  <c r="I91" i="25"/>
  <c r="B105" i="1"/>
  <c r="H105" i="1" s="1"/>
  <c r="I90" i="25"/>
  <c r="B104" i="1"/>
  <c r="C111" i="1"/>
  <c r="D111" i="1"/>
  <c r="E111" i="1"/>
  <c r="F111" i="1"/>
  <c r="G111" i="1"/>
  <c r="I104" i="25"/>
  <c r="B99" i="1"/>
  <c r="H99" i="1" s="1"/>
  <c r="I105" i="25"/>
  <c r="B100" i="1"/>
  <c r="H100" i="1" s="1"/>
  <c r="I103" i="25"/>
  <c r="B98" i="1"/>
  <c r="H98" i="1" s="1"/>
  <c r="I102" i="25"/>
  <c r="B97" i="1"/>
  <c r="H97" i="1" s="1"/>
  <c r="I101" i="25"/>
  <c r="B96" i="1"/>
  <c r="H96" i="1" s="1"/>
  <c r="I100" i="25"/>
  <c r="B95" i="1"/>
  <c r="H95" i="1" s="1"/>
  <c r="I99" i="25"/>
  <c r="B94" i="1"/>
  <c r="C101" i="1"/>
  <c r="D101" i="1"/>
  <c r="E101" i="1"/>
  <c r="F101" i="1"/>
  <c r="G101" i="1"/>
  <c r="D2281" i="24"/>
  <c r="C113" i="25" s="1"/>
  <c r="D2282" i="24"/>
  <c r="C114" i="25" s="1"/>
  <c r="I112" i="25"/>
  <c r="B78" i="1"/>
  <c r="H78" i="1" s="1"/>
  <c r="I111" i="25"/>
  <c r="B77" i="1"/>
  <c r="H77" i="1" s="1"/>
  <c r="I109" i="25"/>
  <c r="B75" i="1"/>
  <c r="H75" i="1" s="1"/>
  <c r="I108" i="25"/>
  <c r="B74" i="1"/>
  <c r="E2281" i="24"/>
  <c r="D113" i="25" s="1"/>
  <c r="C79" i="1" s="1"/>
  <c r="E2282" i="24"/>
  <c r="D114" i="25" s="1"/>
  <c r="C80" i="1" s="1"/>
  <c r="C81" i="1"/>
  <c r="F2281" i="24"/>
  <c r="E113" i="25" s="1"/>
  <c r="D79" i="1" s="1"/>
  <c r="F2282" i="24"/>
  <c r="E114" i="25" s="1"/>
  <c r="D80" i="1" s="1"/>
  <c r="D81" i="1"/>
  <c r="G2281" i="24"/>
  <c r="F113" i="25" s="1"/>
  <c r="E79" i="1" s="1"/>
  <c r="G2282" i="24"/>
  <c r="F114" i="25" s="1"/>
  <c r="E80" i="1" s="1"/>
  <c r="E81" i="1"/>
  <c r="H2281" i="24"/>
  <c r="G113" i="25" s="1"/>
  <c r="F79" i="1" s="1"/>
  <c r="H2282" i="24"/>
  <c r="G114" i="25" s="1"/>
  <c r="F80" i="1" s="1"/>
  <c r="F81" i="1"/>
  <c r="G81" i="1"/>
  <c r="I110" i="25"/>
  <c r="B76" i="1"/>
  <c r="H76" i="1" s="1"/>
  <c r="E71" i="1"/>
  <c r="H74" i="1" l="1"/>
  <c r="I114" i="25"/>
  <c r="B80" i="1"/>
  <c r="H80" i="1" s="1"/>
  <c r="I113" i="25"/>
  <c r="B79" i="1"/>
  <c r="B101" i="1"/>
  <c r="H94" i="1"/>
  <c r="H101" i="1" s="1"/>
  <c r="B111" i="1"/>
  <c r="H104" i="1"/>
  <c r="H111" i="1" s="1"/>
  <c r="B121" i="1"/>
  <c r="H114" i="1"/>
  <c r="H121" i="1" s="1"/>
  <c r="B91" i="1"/>
  <c r="H84" i="1"/>
  <c r="H91" i="1" s="1"/>
  <c r="B71" i="1"/>
  <c r="H64" i="1"/>
  <c r="H71" i="1" s="1"/>
  <c r="I60" i="25"/>
  <c r="B21" i="1"/>
  <c r="H21" i="1" s="1"/>
  <c r="I59" i="25"/>
  <c r="B20" i="1"/>
  <c r="H20" i="1" s="1"/>
  <c r="G17" i="1"/>
  <c r="H7" i="25"/>
  <c r="H27" i="26" s="1"/>
  <c r="H40" i="26" s="1"/>
  <c r="H7" i="26" s="1"/>
  <c r="F17" i="1"/>
  <c r="G7" i="25"/>
  <c r="G27" i="26" s="1"/>
  <c r="G40" i="26" s="1"/>
  <c r="G7" i="26" s="1"/>
  <c r="E17" i="1"/>
  <c r="F7" i="25"/>
  <c r="F27" i="26" s="1"/>
  <c r="F40" i="26" s="1"/>
  <c r="F7" i="26" s="1"/>
  <c r="D17" i="1"/>
  <c r="E7" i="25"/>
  <c r="E27" i="26" s="1"/>
  <c r="E40" i="26" s="1"/>
  <c r="E7" i="26" s="1"/>
  <c r="C17" i="1"/>
  <c r="D7" i="25"/>
  <c r="D27" i="26" s="1"/>
  <c r="D40" i="26" s="1"/>
  <c r="D7" i="26" s="1"/>
  <c r="I55" i="25"/>
  <c r="B17" i="1"/>
  <c r="H17" i="1" s="1"/>
  <c r="C7" i="25"/>
  <c r="B22" i="1"/>
  <c r="B30" i="1" s="1"/>
  <c r="H15" i="1"/>
  <c r="H22" i="1" s="1"/>
  <c r="H30" i="1" s="1"/>
  <c r="G40" i="1"/>
  <c r="G47" i="1" s="1"/>
  <c r="G135" i="1"/>
  <c r="E4" i="1"/>
  <c r="F3" i="25"/>
  <c r="F23" i="26" s="1"/>
  <c r="F36" i="26" s="1"/>
  <c r="F3" i="26" s="1"/>
  <c r="G524" i="24"/>
  <c r="G522" i="24"/>
  <c r="F34" i="25" s="1"/>
  <c r="F10" i="25" s="1"/>
  <c r="F30" i="26" s="1"/>
  <c r="F43" i="26" s="1"/>
  <c r="F10" i="26" s="1"/>
  <c r="I27" i="25"/>
  <c r="B4" i="1"/>
  <c r="C3" i="25"/>
  <c r="D524" i="24"/>
  <c r="D522" i="24"/>
  <c r="C34" i="25" s="1"/>
  <c r="B137" i="1"/>
  <c r="B149" i="1" s="1"/>
  <c r="H7" i="1"/>
  <c r="F4" i="1"/>
  <c r="G3" i="25"/>
  <c r="G23" i="26" s="1"/>
  <c r="G36" i="26" s="1"/>
  <c r="G3" i="26" s="1"/>
  <c r="H524" i="24"/>
  <c r="H522" i="24"/>
  <c r="G34" i="25" s="1"/>
  <c r="G10" i="25" s="1"/>
  <c r="G30" i="26" s="1"/>
  <c r="G43" i="26" s="1"/>
  <c r="G10" i="26" s="1"/>
  <c r="D4" i="1"/>
  <c r="E3" i="25"/>
  <c r="E23" i="26" s="1"/>
  <c r="E36" i="26" s="1"/>
  <c r="E3" i="26" s="1"/>
  <c r="F524" i="24"/>
  <c r="F522" i="24"/>
  <c r="E34" i="25" s="1"/>
  <c r="E10" i="25" s="1"/>
  <c r="E30" i="26" s="1"/>
  <c r="E43" i="26" s="1"/>
  <c r="E10" i="26" s="1"/>
  <c r="C4" i="1"/>
  <c r="D3" i="25"/>
  <c r="D23" i="26" s="1"/>
  <c r="D36" i="26" s="1"/>
  <c r="D3" i="26" s="1"/>
  <c r="E524" i="24"/>
  <c r="E522" i="24"/>
  <c r="D34" i="25" s="1"/>
  <c r="D10" i="25" s="1"/>
  <c r="D30" i="26" s="1"/>
  <c r="D43" i="26" s="1"/>
  <c r="D10" i="26" s="1"/>
  <c r="H51" i="1"/>
  <c r="C24" i="26"/>
  <c r="C37" i="26" s="1"/>
  <c r="C4" i="26" s="1"/>
  <c r="I4" i="25"/>
  <c r="H52" i="1"/>
  <c r="C25" i="26"/>
  <c r="C38" i="26" s="1"/>
  <c r="C5" i="26" s="1"/>
  <c r="I5" i="25"/>
  <c r="B141" i="1"/>
  <c r="B153" i="1" s="1"/>
  <c r="H57" i="1"/>
  <c r="H141" i="1" s="1"/>
  <c r="H153" i="1" s="1"/>
  <c r="D60" i="1"/>
  <c r="C60" i="1"/>
  <c r="I24" i="25"/>
  <c r="B61" i="1"/>
  <c r="H50" i="1"/>
  <c r="H12" i="25"/>
  <c r="H32" i="26" s="1"/>
  <c r="H45" i="26" s="1"/>
  <c r="H12" i="26" s="1"/>
  <c r="G60" i="1"/>
  <c r="F61" i="1"/>
  <c r="E61" i="1"/>
  <c r="H54" i="1"/>
  <c r="H55" i="1"/>
  <c r="H56" i="1"/>
  <c r="H58" i="1"/>
  <c r="D61" i="1"/>
  <c r="C61" i="1"/>
  <c r="G61" i="1"/>
  <c r="D40" i="8"/>
  <c r="B34" i="8"/>
  <c r="D48" i="8" l="1"/>
  <c r="B43" i="8"/>
  <c r="G142" i="1"/>
  <c r="G154" i="1" s="1"/>
  <c r="G127" i="1"/>
  <c r="G129" i="1" s="1"/>
  <c r="H60" i="1"/>
  <c r="H61" i="1"/>
  <c r="E539" i="24"/>
  <c r="E527" i="24"/>
  <c r="E748" i="24" s="1"/>
  <c r="D30" i="25" s="1"/>
  <c r="C135" i="1"/>
  <c r="F539" i="24"/>
  <c r="F527" i="24"/>
  <c r="F748" i="24" s="1"/>
  <c r="E30" i="25" s="1"/>
  <c r="D135" i="1"/>
  <c r="H539" i="24"/>
  <c r="H527" i="24"/>
  <c r="H748" i="24" s="1"/>
  <c r="G30" i="25" s="1"/>
  <c r="F135" i="1"/>
  <c r="H137" i="1"/>
  <c r="H149" i="1" s="1"/>
  <c r="I34" i="25"/>
  <c r="C10" i="25"/>
  <c r="D539" i="24"/>
  <c r="D527" i="24"/>
  <c r="D748" i="24" s="1"/>
  <c r="C30" i="25" s="1"/>
  <c r="C23" i="26"/>
  <c r="C36" i="26" s="1"/>
  <c r="C3" i="26" s="1"/>
  <c r="I3" i="25"/>
  <c r="B135" i="1"/>
  <c r="H4" i="1"/>
  <c r="G539" i="24"/>
  <c r="G527" i="24"/>
  <c r="G748" i="24" s="1"/>
  <c r="F30" i="25" s="1"/>
  <c r="E135" i="1"/>
  <c r="G147" i="1"/>
  <c r="C27" i="26"/>
  <c r="C40" i="26" s="1"/>
  <c r="C7" i="26" s="1"/>
  <c r="I7" i="25"/>
  <c r="C137" i="1"/>
  <c r="C149" i="1" s="1"/>
  <c r="C22" i="1"/>
  <c r="C30" i="1" s="1"/>
  <c r="D137" i="1"/>
  <c r="D149" i="1" s="1"/>
  <c r="D22" i="1"/>
  <c r="D30" i="1" s="1"/>
  <c r="E137" i="1"/>
  <c r="E149" i="1" s="1"/>
  <c r="E22" i="1"/>
  <c r="E30" i="1" s="1"/>
  <c r="F137" i="1"/>
  <c r="F149" i="1" s="1"/>
  <c r="F22" i="1"/>
  <c r="F30" i="1" s="1"/>
  <c r="G137" i="1"/>
  <c r="G22" i="1"/>
  <c r="G30" i="1" s="1"/>
  <c r="G124" i="1" s="1"/>
  <c r="G126" i="1" s="1"/>
  <c r="H79" i="1"/>
  <c r="B81" i="1"/>
  <c r="H81" i="1"/>
  <c r="G149" i="1" l="1"/>
  <c r="G143" i="1"/>
  <c r="G155" i="1"/>
  <c r="E147" i="1"/>
  <c r="E6" i="1"/>
  <c r="F6" i="25"/>
  <c r="F26" i="26" s="1"/>
  <c r="F39" i="26" s="1"/>
  <c r="F6" i="26" s="1"/>
  <c r="G544" i="24"/>
  <c r="G542" i="24"/>
  <c r="G751" i="24" s="1"/>
  <c r="F32" i="25" s="1"/>
  <c r="H135" i="1"/>
  <c r="B147" i="1"/>
  <c r="I30" i="25"/>
  <c r="B6" i="1"/>
  <c r="C6" i="25"/>
  <c r="D544" i="24"/>
  <c r="D542" i="24"/>
  <c r="D751" i="24" s="1"/>
  <c r="C32" i="25" s="1"/>
  <c r="C30" i="26"/>
  <c r="C43" i="26" s="1"/>
  <c r="C10" i="26" s="1"/>
  <c r="I10" i="25"/>
  <c r="F147" i="1"/>
  <c r="F6" i="1"/>
  <c r="G6" i="25"/>
  <c r="G26" i="26" s="1"/>
  <c r="G39" i="26" s="1"/>
  <c r="G6" i="26" s="1"/>
  <c r="H544" i="24"/>
  <c r="H542" i="24"/>
  <c r="H751" i="24" s="1"/>
  <c r="G32" i="25" s="1"/>
  <c r="D147" i="1"/>
  <c r="D6" i="1"/>
  <c r="E6" i="25"/>
  <c r="E26" i="26" s="1"/>
  <c r="E39" i="26" s="1"/>
  <c r="E6" i="26" s="1"/>
  <c r="F544" i="24"/>
  <c r="F542" i="24"/>
  <c r="F751" i="24" s="1"/>
  <c r="E32" i="25" s="1"/>
  <c r="C147" i="1"/>
  <c r="C6" i="1"/>
  <c r="D6" i="25"/>
  <c r="D26" i="26" s="1"/>
  <c r="D39" i="26" s="1"/>
  <c r="D6" i="26" s="1"/>
  <c r="E544" i="24"/>
  <c r="E542" i="24"/>
  <c r="E751" i="24" s="1"/>
  <c r="D32" i="25" s="1"/>
  <c r="D73" i="8"/>
  <c r="B51" i="8"/>
  <c r="D81" i="8" l="1"/>
  <c r="B76" i="8"/>
  <c r="C9" i="1"/>
  <c r="C138" i="1" s="1"/>
  <c r="C150" i="1" s="1"/>
  <c r="D8" i="25"/>
  <c r="D28" i="26" s="1"/>
  <c r="D41" i="26" s="1"/>
  <c r="D8" i="26" s="1"/>
  <c r="E549" i="24"/>
  <c r="E547" i="24"/>
  <c r="E750" i="24" s="1"/>
  <c r="D33" i="25" s="1"/>
  <c r="C136" i="1"/>
  <c r="D9" i="1"/>
  <c r="D138" i="1" s="1"/>
  <c r="D150" i="1" s="1"/>
  <c r="E8" i="25"/>
  <c r="E28" i="26" s="1"/>
  <c r="E41" i="26" s="1"/>
  <c r="E8" i="26" s="1"/>
  <c r="F549" i="24"/>
  <c r="F547" i="24"/>
  <c r="F750" i="24" s="1"/>
  <c r="E33" i="25" s="1"/>
  <c r="D136" i="1"/>
  <c r="F9" i="1"/>
  <c r="F138" i="1" s="1"/>
  <c r="F150" i="1" s="1"/>
  <c r="G8" i="25"/>
  <c r="G28" i="26" s="1"/>
  <c r="G41" i="26" s="1"/>
  <c r="G8" i="26" s="1"/>
  <c r="H549" i="24"/>
  <c r="H547" i="24"/>
  <c r="H750" i="24" s="1"/>
  <c r="G33" i="25" s="1"/>
  <c r="F136" i="1"/>
  <c r="I32" i="25"/>
  <c r="B9" i="1"/>
  <c r="C8" i="25"/>
  <c r="D549" i="24"/>
  <c r="D547" i="24"/>
  <c r="D750" i="24" s="1"/>
  <c r="C33" i="25" s="1"/>
  <c r="C26" i="26"/>
  <c r="C39" i="26" s="1"/>
  <c r="C6" i="26" s="1"/>
  <c r="I6" i="25"/>
  <c r="B136" i="1"/>
  <c r="H6" i="1"/>
  <c r="H147" i="1"/>
  <c r="E9" i="1"/>
  <c r="E138" i="1" s="1"/>
  <c r="E150" i="1" s="1"/>
  <c r="F8" i="25"/>
  <c r="F28" i="26" s="1"/>
  <c r="F41" i="26" s="1"/>
  <c r="F8" i="26" s="1"/>
  <c r="G549" i="24"/>
  <c r="G547" i="24"/>
  <c r="G750" i="24" s="1"/>
  <c r="F33" i="25" s="1"/>
  <c r="E136" i="1"/>
  <c r="E148" i="1" l="1"/>
  <c r="E8" i="1"/>
  <c r="F9" i="25"/>
  <c r="F29" i="26" s="1"/>
  <c r="F42" i="26" s="1"/>
  <c r="F9" i="26" s="1"/>
  <c r="G554" i="24"/>
  <c r="G556" i="24" s="1"/>
  <c r="G753" i="24" s="1"/>
  <c r="F36" i="25" s="1"/>
  <c r="G552" i="24"/>
  <c r="G752" i="24" s="1"/>
  <c r="F35" i="25" s="1"/>
  <c r="H136" i="1"/>
  <c r="B148" i="1"/>
  <c r="I33" i="25"/>
  <c r="B8" i="1"/>
  <c r="C9" i="25"/>
  <c r="D554" i="24"/>
  <c r="D556" i="24" s="1"/>
  <c r="D753" i="24" s="1"/>
  <c r="C36" i="25" s="1"/>
  <c r="D552" i="24"/>
  <c r="D752" i="24" s="1"/>
  <c r="C35" i="25" s="1"/>
  <c r="C28" i="26"/>
  <c r="C41" i="26" s="1"/>
  <c r="C8" i="26" s="1"/>
  <c r="I8" i="25"/>
  <c r="B138" i="1"/>
  <c r="H9" i="1"/>
  <c r="H138" i="1" s="1"/>
  <c r="H150" i="1" s="1"/>
  <c r="F148" i="1"/>
  <c r="F8" i="1"/>
  <c r="G9" i="25"/>
  <c r="G29" i="26" s="1"/>
  <c r="G42" i="26" s="1"/>
  <c r="G9" i="26" s="1"/>
  <c r="H554" i="24"/>
  <c r="H556" i="24" s="1"/>
  <c r="H753" i="24" s="1"/>
  <c r="G36" i="25" s="1"/>
  <c r="H552" i="24"/>
  <c r="H752" i="24" s="1"/>
  <c r="G35" i="25" s="1"/>
  <c r="D148" i="1"/>
  <c r="D8" i="1"/>
  <c r="E9" i="25"/>
  <c r="E29" i="26" s="1"/>
  <c r="E42" i="26" s="1"/>
  <c r="E9" i="26" s="1"/>
  <c r="F554" i="24"/>
  <c r="F556" i="24" s="1"/>
  <c r="F753" i="24" s="1"/>
  <c r="E36" i="25" s="1"/>
  <c r="F552" i="24"/>
  <c r="F752" i="24" s="1"/>
  <c r="E35" i="25" s="1"/>
  <c r="C148" i="1"/>
  <c r="C8" i="1"/>
  <c r="D9" i="25"/>
  <c r="D29" i="26" s="1"/>
  <c r="D42" i="26" s="1"/>
  <c r="D9" i="26" s="1"/>
  <c r="E554" i="24"/>
  <c r="E556" i="24" s="1"/>
  <c r="E753" i="24" s="1"/>
  <c r="D36" i="25" s="1"/>
  <c r="E552" i="24"/>
  <c r="E752" i="24" s="1"/>
  <c r="D35" i="25" s="1"/>
  <c r="D89" i="8"/>
  <c r="B84" i="8"/>
  <c r="D98" i="8" l="1"/>
  <c r="B101" i="8" s="1"/>
  <c r="B92" i="8"/>
  <c r="C10" i="1"/>
  <c r="C140" i="1" s="1"/>
  <c r="C152" i="1" s="1"/>
  <c r="D11" i="25"/>
  <c r="D31" i="26" s="1"/>
  <c r="D44" i="26" s="1"/>
  <c r="D11" i="26" s="1"/>
  <c r="C11" i="1"/>
  <c r="D12" i="25"/>
  <c r="D32" i="26" s="1"/>
  <c r="D45" i="26" s="1"/>
  <c r="D12" i="26" s="1"/>
  <c r="C139" i="1"/>
  <c r="C12" i="1"/>
  <c r="C124" i="1" s="1"/>
  <c r="C126" i="1" s="1"/>
  <c r="D10" i="1"/>
  <c r="D140" i="1" s="1"/>
  <c r="D152" i="1" s="1"/>
  <c r="E11" i="25"/>
  <c r="E31" i="26" s="1"/>
  <c r="E44" i="26" s="1"/>
  <c r="E11" i="26" s="1"/>
  <c r="D11" i="1"/>
  <c r="E12" i="25"/>
  <c r="E32" i="26" s="1"/>
  <c r="E45" i="26" s="1"/>
  <c r="E12" i="26" s="1"/>
  <c r="D139" i="1"/>
  <c r="D12" i="1"/>
  <c r="D124" i="1" s="1"/>
  <c r="D126" i="1" s="1"/>
  <c r="F10" i="1"/>
  <c r="F140" i="1" s="1"/>
  <c r="F152" i="1" s="1"/>
  <c r="G11" i="25"/>
  <c r="G31" i="26" s="1"/>
  <c r="G44" i="26" s="1"/>
  <c r="G11" i="26" s="1"/>
  <c r="F11" i="1"/>
  <c r="G12" i="25"/>
  <c r="G32" i="26" s="1"/>
  <c r="G45" i="26" s="1"/>
  <c r="G12" i="26" s="1"/>
  <c r="F139" i="1"/>
  <c r="F12" i="1"/>
  <c r="F124" i="1" s="1"/>
  <c r="F126" i="1" s="1"/>
  <c r="B150" i="1"/>
  <c r="I35" i="25"/>
  <c r="B10" i="1"/>
  <c r="C11" i="25"/>
  <c r="I36" i="25"/>
  <c r="B11" i="1"/>
  <c r="C12" i="25"/>
  <c r="C29" i="26"/>
  <c r="C42" i="26" s="1"/>
  <c r="C9" i="26" s="1"/>
  <c r="I9" i="25"/>
  <c r="B139" i="1"/>
  <c r="H8" i="1"/>
  <c r="B12" i="1"/>
  <c r="B124" i="1" s="1"/>
  <c r="B126" i="1" s="1"/>
  <c r="H148" i="1"/>
  <c r="E10" i="1"/>
  <c r="E140" i="1" s="1"/>
  <c r="E152" i="1" s="1"/>
  <c r="F11" i="25"/>
  <c r="F31" i="26" s="1"/>
  <c r="F44" i="26" s="1"/>
  <c r="F11" i="26" s="1"/>
  <c r="E11" i="1"/>
  <c r="F12" i="25"/>
  <c r="F32" i="26" s="1"/>
  <c r="F45" i="26" s="1"/>
  <c r="F12" i="26" s="1"/>
  <c r="E139" i="1"/>
  <c r="E12" i="1"/>
  <c r="E124" i="1" s="1"/>
  <c r="E126" i="1" s="1"/>
  <c r="E151" i="1" l="1"/>
  <c r="E155" i="1" s="1"/>
  <c r="E143" i="1"/>
  <c r="E142" i="1"/>
  <c r="E154" i="1" s="1"/>
  <c r="E127" i="1"/>
  <c r="E129" i="1" s="1"/>
  <c r="H139" i="1"/>
  <c r="B151" i="1"/>
  <c r="C32" i="26"/>
  <c r="C45" i="26" s="1"/>
  <c r="C12" i="26" s="1"/>
  <c r="I12" i="25"/>
  <c r="B142" i="1"/>
  <c r="B154" i="1" s="1"/>
  <c r="B127" i="1"/>
  <c r="B129" i="1" s="1"/>
  <c r="H11" i="1"/>
  <c r="C31" i="26"/>
  <c r="C44" i="26" s="1"/>
  <c r="C11" i="26" s="1"/>
  <c r="I11" i="25"/>
  <c r="B140" i="1"/>
  <c r="H10" i="1"/>
  <c r="F151" i="1"/>
  <c r="F155" i="1" s="1"/>
  <c r="F143" i="1"/>
  <c r="F142" i="1"/>
  <c r="F154" i="1" s="1"/>
  <c r="F127" i="1"/>
  <c r="F129" i="1" s="1"/>
  <c r="D151" i="1"/>
  <c r="D155" i="1" s="1"/>
  <c r="D143" i="1"/>
  <c r="D142" i="1"/>
  <c r="D154" i="1" s="1"/>
  <c r="D127" i="1"/>
  <c r="D129" i="1" s="1"/>
  <c r="C151" i="1"/>
  <c r="C155" i="1" s="1"/>
  <c r="C143" i="1"/>
  <c r="C142" i="1"/>
  <c r="C154" i="1" s="1"/>
  <c r="C127" i="1"/>
  <c r="C129" i="1" s="1"/>
  <c r="H140" i="1" l="1"/>
  <c r="H152" i="1" s="1"/>
  <c r="H12" i="1"/>
  <c r="H124" i="1" s="1"/>
  <c r="H126" i="1" s="1"/>
  <c r="B152" i="1"/>
  <c r="B143" i="1"/>
  <c r="H142" i="1"/>
  <c r="H154" i="1" s="1"/>
  <c r="H127" i="1"/>
  <c r="H129" i="1" s="1"/>
  <c r="B155" i="1"/>
  <c r="H151" i="1"/>
  <c r="H155" i="1" s="1"/>
  <c r="H143"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Unknown Author</author>
  </authors>
  <commentList>
    <comment ref="A23" authorId="0" shapeId="0" xr:uid="{00000000-0006-0000-0000-000001000000}">
      <text>
        <r>
          <rPr>
            <sz val="10"/>
            <rFont val="Arial"/>
            <family val="2"/>
          </rPr>
          <t>Contaminantes atmosféricos peligrosos (CAPs): las hojas fuente no los calculan (Cálculos PS/AG tratan los HAPs como Pb) y el Exhibit 2M radicado los dejó sin valor, por lo que su total anual se presentó en 0.00. Se reflejan 0.00 igual que el 2M. El 2M tampoco trae emisiones permisibles para estas filas (N/A).</t>
        </r>
      </text>
    </comment>
    <comment ref="A41" authorId="0" shapeId="0" xr:uid="{00000000-0006-0000-0000-000002000000}">
      <text>
        <r>
          <rPr>
            <sz val="10"/>
            <rFont val="Arial"/>
            <family val="2"/>
          </rPr>
          <t>Contaminantes atmosféricos peligrosos (CAPs): las hojas fuente no los calculan (Cálculos PS/AG tratan los HAPs como Pb) y el Exhibit 2M radicado los dejó sin valor, por lo que su total anual se presentó en 0.00. Se reflejan 0.00 igual que el 2M. El 2M tampoco trae emisiones permisibles para estas filas (N/A).</t>
        </r>
      </text>
    </comment>
    <comment ref="A125" authorId="0" shapeId="0" xr:uid="{00000000-0006-0000-0000-000003000000}">
      <text>
        <r>
          <rPr>
            <sz val="10"/>
            <rFont val="Arial"/>
            <family val="2"/>
          </rPr>
          <t>Million MMBtu: valores según el Exhibit 2M radicado (Q4 FY2026), fila 125.</t>
        </r>
      </text>
    </comment>
    <comment ref="A128" authorId="0" shapeId="0" xr:uid="{00000000-0006-0000-0000-000004000000}">
      <text>
        <r>
          <rPr>
            <sz val="10"/>
            <rFont val="Arial"/>
            <family val="2"/>
          </rPr>
          <t>GWh: valores según el Exhibit 2M radicado (Q4 FY2026), fila 128.</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Unknown Author</author>
  </authors>
  <commentList>
    <comment ref="B4" authorId="0" shapeId="0" xr:uid="{00000000-0006-0000-0400-000001000000}">
      <text>
        <r>
          <rPr>
            <sz val="10"/>
            <rFont val="Arial"/>
            <family val="2"/>
          </rPr>
          <t>Babcock, Steven:
Permit Limit</t>
        </r>
      </text>
    </comment>
    <comment ref="C4" authorId="0" shapeId="0" xr:uid="{00000000-0006-0000-0400-00000A000000}">
      <text>
        <r>
          <rPr>
            <sz val="10"/>
            <rFont val="Arial"/>
            <family val="2"/>
          </rPr>
          <t>Babcock, Steven:
Permit Limit</t>
        </r>
      </text>
    </comment>
    <comment ref="B5" authorId="0" shapeId="0" xr:uid="{00000000-0006-0000-0400-000002000000}">
      <text>
        <r>
          <rPr>
            <sz val="10"/>
            <rFont val="Arial"/>
            <family val="2"/>
          </rPr>
          <t>Babcock, Steven:
Permit Limit</t>
        </r>
      </text>
    </comment>
    <comment ref="C5" authorId="0" shapeId="0" xr:uid="{00000000-0006-0000-0400-00000B000000}">
      <text>
        <r>
          <rPr>
            <sz val="10"/>
            <rFont val="Arial"/>
            <family val="2"/>
          </rPr>
          <t>Babcock, Steven:
Permit Limit</t>
        </r>
      </text>
    </comment>
    <comment ref="B6" authorId="0" shapeId="0" xr:uid="{00000000-0006-0000-0400-000003000000}">
      <text>
        <r>
          <rPr>
            <sz val="10"/>
            <rFont val="Arial"/>
            <family val="2"/>
          </rPr>
          <t>Babcock, Steven:
Permit Limit</t>
        </r>
      </text>
    </comment>
    <comment ref="C6" authorId="0" shapeId="0" xr:uid="{00000000-0006-0000-0400-00000C000000}">
      <text>
        <r>
          <rPr>
            <sz val="10"/>
            <rFont val="Arial"/>
            <family val="2"/>
          </rPr>
          <t>Babcock, Steven:
Permit Limit</t>
        </r>
      </text>
    </comment>
    <comment ref="B7" authorId="0" shapeId="0" xr:uid="{00000000-0006-0000-0400-000004000000}">
      <text>
        <r>
          <rPr>
            <sz val="10"/>
            <rFont val="Arial"/>
            <family val="2"/>
          </rPr>
          <t>Babcock, Steven:
Permit Limit</t>
        </r>
      </text>
    </comment>
    <comment ref="C7" authorId="0" shapeId="0" xr:uid="{00000000-0006-0000-0400-00000D000000}">
      <text>
        <r>
          <rPr>
            <sz val="10"/>
            <rFont val="Arial"/>
            <family val="2"/>
          </rPr>
          <t>Babcock, Steven:
Permit Limit</t>
        </r>
      </text>
    </comment>
    <comment ref="B8" authorId="0" shapeId="0" xr:uid="{00000000-0006-0000-0400-000005000000}">
      <text>
        <r>
          <rPr>
            <sz val="10"/>
            <rFont val="Arial"/>
            <family val="2"/>
          </rPr>
          <t>Babcock, Steven:
Permit LImit</t>
        </r>
      </text>
    </comment>
    <comment ref="C8" authorId="0" shapeId="0" xr:uid="{00000000-0006-0000-0400-00000E000000}">
      <text>
        <r>
          <rPr>
            <sz val="10"/>
            <rFont val="Arial"/>
            <family val="2"/>
          </rPr>
          <t>Babcock, Steven:
Pemrit Limit</t>
        </r>
      </text>
    </comment>
    <comment ref="B9" authorId="0" shapeId="0" xr:uid="{00000000-0006-0000-0400-000006000000}">
      <text>
        <r>
          <rPr>
            <sz val="10"/>
            <rFont val="Arial"/>
            <family val="2"/>
          </rPr>
          <t>Babcock, Steven:
Permit Limit</t>
        </r>
      </text>
    </comment>
    <comment ref="C9" authorId="0" shapeId="0" xr:uid="{00000000-0006-0000-0400-00000F000000}">
      <text>
        <r>
          <rPr>
            <sz val="10"/>
            <rFont val="Arial"/>
            <family val="2"/>
          </rPr>
          <t>Babcock, Steven:
Permit Limit</t>
        </r>
      </text>
    </comment>
    <comment ref="B10" authorId="0" shapeId="0" xr:uid="{00000000-0006-0000-0400-000007000000}">
      <text>
        <r>
          <rPr>
            <sz val="10"/>
            <rFont val="Arial"/>
            <family val="2"/>
          </rPr>
          <t>Babcock, Steven:
Permit Limit</t>
        </r>
      </text>
    </comment>
    <comment ref="C10" authorId="0" shapeId="0" xr:uid="{00000000-0006-0000-0400-000010000000}">
      <text>
        <r>
          <rPr>
            <sz val="10"/>
            <rFont val="Arial"/>
            <family val="2"/>
          </rPr>
          <t>Babcock, Steven:
AP-42 Section 1.3</t>
        </r>
      </text>
    </comment>
    <comment ref="B11" authorId="0" shapeId="0" xr:uid="{00000000-0006-0000-0400-000008000000}">
      <text>
        <r>
          <rPr>
            <sz val="10"/>
            <rFont val="Arial"/>
            <family val="2"/>
          </rPr>
          <t>Babcock, Steven:
Permit Limit</t>
        </r>
      </text>
    </comment>
    <comment ref="C11" authorId="0" shapeId="0" xr:uid="{00000000-0006-0000-0400-000011000000}">
      <text>
        <r>
          <rPr>
            <sz val="10"/>
            <rFont val="Arial"/>
            <family val="2"/>
          </rPr>
          <t>Babcock, Steven:
Permit Limit</t>
        </r>
      </text>
    </comment>
    <comment ref="B13" authorId="0" shapeId="0" xr:uid="{00000000-0006-0000-0400-000009000000}">
      <text>
        <r>
          <rPr>
            <sz val="10"/>
            <rFont val="Arial"/>
            <family val="2"/>
          </rPr>
          <t>Babcock, Steven:
eGGRT GHG Report</t>
        </r>
      </text>
    </comment>
    <comment ref="C13" authorId="0" shapeId="0" xr:uid="{00000000-0006-0000-0400-000012000000}">
      <text>
        <r>
          <rPr>
            <sz val="10"/>
            <rFont val="Arial"/>
            <family val="2"/>
          </rPr>
          <t>Babcock, Steven:
eGGRT GHG Report</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Unknown Author</author>
  </authors>
  <commentList>
    <comment ref="B4" authorId="0" shapeId="0" xr:uid="{00000000-0006-0000-0500-000001000000}">
      <text>
        <r>
          <rPr>
            <sz val="10"/>
            <rFont val="Arial"/>
            <family val="2"/>
          </rPr>
          <t>Babcock, Steven:
Permit Limit</t>
        </r>
      </text>
    </comment>
    <comment ref="C4" authorId="0" shapeId="0" xr:uid="{00000000-0006-0000-0500-00000A000000}">
      <text>
        <r>
          <rPr>
            <sz val="10"/>
            <rFont val="Arial"/>
            <family val="2"/>
          </rPr>
          <t>Babcock, Steven:
Permit Limit</t>
        </r>
      </text>
    </comment>
    <comment ref="B5" authorId="0" shapeId="0" xr:uid="{00000000-0006-0000-0500-000002000000}">
      <text>
        <r>
          <rPr>
            <sz val="10"/>
            <rFont val="Arial"/>
            <family val="2"/>
          </rPr>
          <t>Babcock, Steven:
Permit Limit</t>
        </r>
      </text>
    </comment>
    <comment ref="C5" authorId="0" shapeId="0" xr:uid="{00000000-0006-0000-0500-00000B000000}">
      <text>
        <r>
          <rPr>
            <sz val="10"/>
            <rFont val="Arial"/>
            <family val="2"/>
          </rPr>
          <t>Babcock, Steven:
Permit Limit</t>
        </r>
      </text>
    </comment>
    <comment ref="B6" authorId="0" shapeId="0" xr:uid="{00000000-0006-0000-0500-000003000000}">
      <text>
        <r>
          <rPr>
            <sz val="10"/>
            <rFont val="Arial"/>
            <family val="2"/>
          </rPr>
          <t>Babcock, Steven:
Permit Limit</t>
        </r>
      </text>
    </comment>
    <comment ref="C6" authorId="0" shapeId="0" xr:uid="{00000000-0006-0000-0500-00000C000000}">
      <text>
        <r>
          <rPr>
            <sz val="10"/>
            <rFont val="Arial"/>
            <family val="2"/>
          </rPr>
          <t>Babcock, Steven:
Permit Limit</t>
        </r>
      </text>
    </comment>
    <comment ref="B7" authorId="0" shapeId="0" xr:uid="{00000000-0006-0000-0500-000004000000}">
      <text>
        <r>
          <rPr>
            <sz val="10"/>
            <rFont val="Arial"/>
            <family val="2"/>
          </rPr>
          <t>Babcock, Steven:
Permit Limit</t>
        </r>
      </text>
    </comment>
    <comment ref="C7" authorId="0" shapeId="0" xr:uid="{00000000-0006-0000-0500-00000D000000}">
      <text>
        <r>
          <rPr>
            <sz val="10"/>
            <rFont val="Arial"/>
            <family val="2"/>
          </rPr>
          <t>Babcock, Steven:
Permit Limit</t>
        </r>
      </text>
    </comment>
    <comment ref="B8" authorId="0" shapeId="0" xr:uid="{00000000-0006-0000-0500-000005000000}">
      <text>
        <r>
          <rPr>
            <sz val="10"/>
            <rFont val="Arial"/>
            <family val="2"/>
          </rPr>
          <t>Babcock, Steven:
Permit LImit</t>
        </r>
      </text>
    </comment>
    <comment ref="C8" authorId="0" shapeId="0" xr:uid="{00000000-0006-0000-0500-00000E000000}">
      <text>
        <r>
          <rPr>
            <sz val="10"/>
            <rFont val="Arial"/>
            <family val="2"/>
          </rPr>
          <t>Babcock, Steven:
Pemrit Limit</t>
        </r>
      </text>
    </comment>
    <comment ref="B9" authorId="0" shapeId="0" xr:uid="{00000000-0006-0000-0500-000006000000}">
      <text>
        <r>
          <rPr>
            <sz val="10"/>
            <rFont val="Arial"/>
            <family val="2"/>
          </rPr>
          <t>Babcock, Steven:
Permit Limit</t>
        </r>
      </text>
    </comment>
    <comment ref="C9" authorId="0" shapeId="0" xr:uid="{00000000-0006-0000-0500-00000F000000}">
      <text>
        <r>
          <rPr>
            <sz val="10"/>
            <rFont val="Arial"/>
            <family val="2"/>
          </rPr>
          <t>Babcock, Steven:
Permit Limit</t>
        </r>
      </text>
    </comment>
    <comment ref="B10" authorId="0" shapeId="0" xr:uid="{00000000-0006-0000-0500-000007000000}">
      <text>
        <r>
          <rPr>
            <sz val="10"/>
            <rFont val="Arial"/>
            <family val="2"/>
          </rPr>
          <t>Babcock, Steven:
Permit Limit</t>
        </r>
      </text>
    </comment>
    <comment ref="C10" authorId="0" shapeId="0" xr:uid="{00000000-0006-0000-0500-000010000000}">
      <text>
        <r>
          <rPr>
            <sz val="10"/>
            <rFont val="Arial"/>
            <family val="2"/>
          </rPr>
          <t>Babcock, Steven:
AP-42 Section 1.3</t>
        </r>
      </text>
    </comment>
    <comment ref="B11" authorId="0" shapeId="0" xr:uid="{00000000-0006-0000-0500-000008000000}">
      <text>
        <r>
          <rPr>
            <sz val="10"/>
            <rFont val="Arial"/>
            <family val="2"/>
          </rPr>
          <t>Babcock, Steven:
Permit Limit</t>
        </r>
      </text>
    </comment>
    <comment ref="C11" authorId="0" shapeId="0" xr:uid="{00000000-0006-0000-0500-000011000000}">
      <text>
        <r>
          <rPr>
            <sz val="10"/>
            <rFont val="Arial"/>
            <family val="2"/>
          </rPr>
          <t>Babcock, Steven:
Permit Limit</t>
        </r>
      </text>
    </comment>
    <comment ref="B13" authorId="0" shapeId="0" xr:uid="{00000000-0006-0000-0500-000009000000}">
      <text>
        <r>
          <rPr>
            <sz val="10"/>
            <rFont val="Arial"/>
            <family val="2"/>
          </rPr>
          <t>Babcock, Steven:
eGGRT GHG Report</t>
        </r>
      </text>
    </comment>
    <comment ref="C13" authorId="0" shapeId="0" xr:uid="{00000000-0006-0000-0500-000012000000}">
      <text>
        <r>
          <rPr>
            <sz val="10"/>
            <rFont val="Arial"/>
            <family val="2"/>
          </rPr>
          <t>Babcock, Steven:
eGGRT GHG Report</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Unknown Author</author>
  </authors>
  <commentList>
    <comment ref="B31" authorId="0" shapeId="0" xr:uid="{00000000-0006-0000-0600-000001000000}">
      <text>
        <r>
          <rPr>
            <sz val="10"/>
            <rFont val="Arial"/>
            <family val="2"/>
          </rPr>
          <t>Javier Lopez Rosario:
Opero 100% GN</t>
        </r>
      </text>
    </comment>
    <comment ref="B34" authorId="0" shapeId="0" xr:uid="{00000000-0006-0000-0600-000002000000}">
      <text>
        <r>
          <rPr>
            <sz val="10"/>
            <rFont val="Arial"/>
            <family val="2"/>
          </rPr>
          <t>Javier Lopez Rosario:
Opero 100% GN</t>
        </r>
      </text>
    </comment>
    <comment ref="C34" authorId="0" shapeId="0" xr:uid="{00000000-0006-0000-0600-000003000000}">
      <text>
        <r>
          <rPr>
            <sz val="10"/>
            <rFont val="Arial"/>
            <family val="2"/>
          </rPr>
          <t>Javier Lopez Rosario:
Opero en 100% GN</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Unknown Author</author>
  </authors>
  <commentList>
    <comment ref="B4" authorId="0" shapeId="0" xr:uid="{00000000-0006-0000-0800-000001000000}">
      <text>
        <r>
          <rPr>
            <sz val="10"/>
            <rFont val="Arial"/>
            <family val="2"/>
          </rPr>
          <t>Babcock, Steven:
Vendor guarantee</t>
        </r>
      </text>
    </comment>
    <comment ref="C4" authorId="0" shapeId="0" xr:uid="{00000000-0006-0000-0800-00000A000000}">
      <text>
        <r>
          <rPr>
            <sz val="10"/>
            <rFont val="Arial"/>
            <family val="2"/>
          </rPr>
          <t>Babcock, Steven:
From EPA approved PSD netting analysis</t>
        </r>
      </text>
    </comment>
    <comment ref="B5" authorId="0" shapeId="0" xr:uid="{00000000-0006-0000-0800-000002000000}">
      <text>
        <r>
          <rPr>
            <sz val="10"/>
            <rFont val="Arial"/>
            <family val="2"/>
          </rPr>
          <t>Babcock, Steven:
Vendor gurantee</t>
        </r>
      </text>
    </comment>
    <comment ref="C5" authorId="0" shapeId="0" xr:uid="{00000000-0006-0000-0800-00000B000000}">
      <text>
        <r>
          <rPr>
            <sz val="10"/>
            <rFont val="Arial"/>
            <family val="2"/>
          </rPr>
          <t>Babcock, Steven:
From EPA approved PSD netting analysis</t>
        </r>
      </text>
    </comment>
    <comment ref="B6" authorId="0" shapeId="0" xr:uid="{00000000-0006-0000-0800-000003000000}">
      <text>
        <r>
          <rPr>
            <sz val="10"/>
            <rFont val="Arial"/>
            <family val="2"/>
          </rPr>
          <t>Babcock, Steven:
Permit Limit PFE-65-0499-0365-I-II-C</t>
        </r>
      </text>
    </comment>
    <comment ref="C6" authorId="0" shapeId="0" xr:uid="{00000000-0006-0000-0800-00000C000000}">
      <text>
        <r>
          <rPr>
            <sz val="10"/>
            <rFont val="Arial"/>
            <family val="2"/>
          </rPr>
          <t>Babcock, Steven:
Permit Limit PFE-65-0499-0365-I-II-C</t>
        </r>
      </text>
    </comment>
    <comment ref="B7" authorId="0" shapeId="0" xr:uid="{00000000-0006-0000-0800-000004000000}">
      <text>
        <r>
          <rPr>
            <sz val="10"/>
            <rFont val="Arial"/>
            <family val="2"/>
          </rPr>
          <t>Babcock, Steven:
Permit Limit PFE-65-0499-0365-I-II-C</t>
        </r>
      </text>
    </comment>
    <comment ref="C7" authorId="0" shapeId="0" xr:uid="{00000000-0006-0000-0800-00000D000000}">
      <text>
        <r>
          <rPr>
            <sz val="10"/>
            <rFont val="Arial"/>
            <family val="2"/>
          </rPr>
          <t>Babcock, Steven:
Permit Limit PFE-65-0499-0365-I-II-C</t>
        </r>
      </text>
    </comment>
    <comment ref="B8" authorId="0" shapeId="0" xr:uid="{00000000-0006-0000-0800-000005000000}">
      <text>
        <r>
          <rPr>
            <sz val="10"/>
            <rFont val="Arial"/>
            <family val="2"/>
          </rPr>
          <t>Babcock, Steven:
Permit Limit PFE-65-0499-0365-I-II-C</t>
        </r>
      </text>
    </comment>
    <comment ref="C8" authorId="0" shapeId="0" xr:uid="{00000000-0006-0000-0800-00000E000000}">
      <text>
        <r>
          <rPr>
            <sz val="10"/>
            <rFont val="Arial"/>
            <family val="2"/>
          </rPr>
          <t>Babcock, Steven:
Permit Limit PFE-65-0499-0365-I-II-C</t>
        </r>
      </text>
    </comment>
    <comment ref="B9" authorId="0" shapeId="0" xr:uid="{00000000-0006-0000-0800-000006000000}">
      <text>
        <r>
          <rPr>
            <sz val="10"/>
            <rFont val="Arial"/>
            <family val="2"/>
          </rPr>
          <t>Babcock, Steven:
Permit Limit PFE-65-0499-0365-I-II-C</t>
        </r>
      </text>
    </comment>
    <comment ref="C9" authorId="0" shapeId="0" xr:uid="{00000000-0006-0000-0800-00000F000000}">
      <text>
        <r>
          <rPr>
            <sz val="10"/>
            <rFont val="Arial"/>
            <family val="2"/>
          </rPr>
          <t>Babcock, Steven:
Permit Limit PFE-65-0499-0365-I-II-C</t>
        </r>
      </text>
    </comment>
    <comment ref="B10" authorId="0" shapeId="0" xr:uid="{00000000-0006-0000-0800-000007000000}">
      <text>
        <r>
          <rPr>
            <sz val="10"/>
            <rFont val="Arial"/>
            <family val="2"/>
          </rPr>
          <t>Babcock, Steven:
Permit Limit PFE-65-0499-0365-I-II-C</t>
        </r>
      </text>
    </comment>
    <comment ref="C10" authorId="0" shapeId="0" xr:uid="{00000000-0006-0000-0800-000010000000}">
      <text>
        <r>
          <rPr>
            <sz val="10"/>
            <rFont val="Arial"/>
            <family val="2"/>
          </rPr>
          <t>Babcock, Steven:
AP-42 Section 3.1</t>
        </r>
      </text>
    </comment>
    <comment ref="B11" authorId="0" shapeId="0" xr:uid="{00000000-0006-0000-0800-000008000000}">
      <text>
        <r>
          <rPr>
            <sz val="10"/>
            <rFont val="Arial"/>
            <family val="2"/>
          </rPr>
          <t>Babcock, Steven:
Permit Limit PFE-65-0499-0365-I-II-C</t>
        </r>
      </text>
    </comment>
    <comment ref="C11" authorId="0" shapeId="0" xr:uid="{00000000-0006-0000-0800-000011000000}">
      <text>
        <r>
          <rPr>
            <sz val="10"/>
            <rFont val="Arial"/>
            <family val="2"/>
          </rPr>
          <t>Babcock, Steven:
Permit Limit PFE-65-0499-0365-I-II-C</t>
        </r>
      </text>
    </comment>
    <comment ref="C12" authorId="0" shapeId="0" xr:uid="{00000000-0006-0000-0800-000012000000}">
      <text>
        <r>
          <rPr>
            <sz val="10"/>
            <rFont val="Arial"/>
            <family val="2"/>
          </rPr>
          <t>Babcock, Steven:
Permit Limit PFE-65-0499-0365-I-II-C</t>
        </r>
      </text>
    </comment>
    <comment ref="B13" authorId="0" shapeId="0" xr:uid="{00000000-0006-0000-0800-000009000000}">
      <text>
        <r>
          <rPr>
            <sz val="10"/>
            <rFont val="Arial"/>
            <family val="2"/>
          </rPr>
          <t>Babcock, Steven:
eGGRT GHG Report</t>
        </r>
      </text>
    </comment>
    <comment ref="C13" authorId="0" shapeId="0" xr:uid="{00000000-0006-0000-0800-000013000000}">
      <text>
        <r>
          <rPr>
            <sz val="10"/>
            <rFont val="Arial"/>
            <family val="2"/>
          </rPr>
          <t>Babcock, Steven:
eGGRT GHG Report</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Unknown Author</author>
  </authors>
  <commentList>
    <comment ref="B4" authorId="0" shapeId="0" xr:uid="{00000000-0006-0000-0900-000001000000}">
      <text>
        <r>
          <rPr>
            <sz val="10"/>
            <rFont val="Arial"/>
            <family val="2"/>
          </rPr>
          <t>Babcock, Steven:
Vendor guarantee</t>
        </r>
      </text>
    </comment>
    <comment ref="C4" authorId="0" shapeId="0" xr:uid="{00000000-0006-0000-0900-00000A000000}">
      <text>
        <r>
          <rPr>
            <sz val="10"/>
            <rFont val="Arial"/>
            <family val="2"/>
          </rPr>
          <t>Babcock, Steven:
From EPA approved PSD netting analysis</t>
        </r>
      </text>
    </comment>
    <comment ref="B5" authorId="0" shapeId="0" xr:uid="{00000000-0006-0000-0900-000002000000}">
      <text>
        <r>
          <rPr>
            <sz val="10"/>
            <rFont val="Arial"/>
            <family val="2"/>
          </rPr>
          <t>Babcock, Steven:
Vendor gurantee</t>
        </r>
      </text>
    </comment>
    <comment ref="C5" authorId="0" shapeId="0" xr:uid="{00000000-0006-0000-0900-00000B000000}">
      <text>
        <r>
          <rPr>
            <sz val="10"/>
            <rFont val="Arial"/>
            <family val="2"/>
          </rPr>
          <t>Babcock, Steven:
From EPA approved PSD netting analysis</t>
        </r>
      </text>
    </comment>
    <comment ref="B6" authorId="0" shapeId="0" xr:uid="{00000000-0006-0000-0900-000003000000}">
      <text>
        <r>
          <rPr>
            <sz val="10"/>
            <rFont val="Arial"/>
            <family val="2"/>
          </rPr>
          <t>Babcock, Steven:
Permit Limit PFE-65-0499-0365-I-II-C</t>
        </r>
      </text>
    </comment>
    <comment ref="C6" authorId="0" shapeId="0" xr:uid="{00000000-0006-0000-0900-00000C000000}">
      <text>
        <r>
          <rPr>
            <sz val="10"/>
            <rFont val="Arial"/>
            <family val="2"/>
          </rPr>
          <t>Babcock, Steven:
Permit Limit PFE-65-0499-0365-I-II-C</t>
        </r>
      </text>
    </comment>
    <comment ref="B7" authorId="0" shapeId="0" xr:uid="{00000000-0006-0000-0900-000004000000}">
      <text>
        <r>
          <rPr>
            <sz val="10"/>
            <rFont val="Arial"/>
            <family val="2"/>
          </rPr>
          <t>Babcock, Steven:
Permit Limit PFE-65-0499-0365-I-II-C</t>
        </r>
      </text>
    </comment>
    <comment ref="C7" authorId="0" shapeId="0" xr:uid="{00000000-0006-0000-0900-00000D000000}">
      <text>
        <r>
          <rPr>
            <sz val="10"/>
            <rFont val="Arial"/>
            <family val="2"/>
          </rPr>
          <t>Babcock, Steven:
Permit Limit PFE-65-0499-0365-I-II-C</t>
        </r>
      </text>
    </comment>
    <comment ref="B8" authorId="0" shapeId="0" xr:uid="{00000000-0006-0000-0900-000005000000}">
      <text>
        <r>
          <rPr>
            <sz val="10"/>
            <rFont val="Arial"/>
            <family val="2"/>
          </rPr>
          <t>Babcock, Steven:
Permit Limit PFE-65-0499-0365-I-II-C</t>
        </r>
      </text>
    </comment>
    <comment ref="C8" authorId="0" shapeId="0" xr:uid="{00000000-0006-0000-0900-00000E000000}">
      <text>
        <r>
          <rPr>
            <sz val="10"/>
            <rFont val="Arial"/>
            <family val="2"/>
          </rPr>
          <t>Babcock, Steven:
Permit Limit PFE-65-0499-0365-I-II-C</t>
        </r>
      </text>
    </comment>
    <comment ref="B9" authorId="0" shapeId="0" xr:uid="{00000000-0006-0000-0900-000006000000}">
      <text>
        <r>
          <rPr>
            <sz val="10"/>
            <rFont val="Arial"/>
            <family val="2"/>
          </rPr>
          <t>Babcock, Steven:
Permit Limit PFE-65-0499-0365-I-II-C</t>
        </r>
      </text>
    </comment>
    <comment ref="C9" authorId="0" shapeId="0" xr:uid="{00000000-0006-0000-0900-00000F000000}">
      <text>
        <r>
          <rPr>
            <sz val="10"/>
            <rFont val="Arial"/>
            <family val="2"/>
          </rPr>
          <t>Babcock, Steven:
Permit Limit PFE-65-0499-0365-I-II-C</t>
        </r>
      </text>
    </comment>
    <comment ref="B10" authorId="0" shapeId="0" xr:uid="{00000000-0006-0000-0900-000007000000}">
      <text>
        <r>
          <rPr>
            <sz val="10"/>
            <rFont val="Arial"/>
            <family val="2"/>
          </rPr>
          <t>Babcock, Steven:
Permit Limit PFE-65-0499-0365-I-II-C</t>
        </r>
      </text>
    </comment>
    <comment ref="C10" authorId="0" shapeId="0" xr:uid="{00000000-0006-0000-0900-000010000000}">
      <text>
        <r>
          <rPr>
            <sz val="10"/>
            <rFont val="Arial"/>
            <family val="2"/>
          </rPr>
          <t>Babcock, Steven:
AP-42 Section 3.1</t>
        </r>
      </text>
    </comment>
    <comment ref="B11" authorId="0" shapeId="0" xr:uid="{00000000-0006-0000-0900-000008000000}">
      <text>
        <r>
          <rPr>
            <sz val="10"/>
            <rFont val="Arial"/>
            <family val="2"/>
          </rPr>
          <t>Babcock, Steven:
Permit Limit PFE-65-0499-0365-I-II-C</t>
        </r>
      </text>
    </comment>
    <comment ref="C11" authorId="0" shapeId="0" xr:uid="{00000000-0006-0000-0900-000011000000}">
      <text>
        <r>
          <rPr>
            <sz val="10"/>
            <rFont val="Arial"/>
            <family val="2"/>
          </rPr>
          <t>Babcock, Steven:
Permit Limit PFE-65-0499-0365-I-II-C</t>
        </r>
      </text>
    </comment>
    <comment ref="C12" authorId="0" shapeId="0" xr:uid="{00000000-0006-0000-0900-000012000000}">
      <text>
        <r>
          <rPr>
            <sz val="10"/>
            <rFont val="Arial"/>
            <family val="2"/>
          </rPr>
          <t>Babcock, Steven:
Permit Limit PFE-65-0499-0365-I-II-C</t>
        </r>
      </text>
    </comment>
    <comment ref="B13" authorId="0" shapeId="0" xr:uid="{00000000-0006-0000-0900-000009000000}">
      <text>
        <r>
          <rPr>
            <sz val="10"/>
            <rFont val="Arial"/>
            <family val="2"/>
          </rPr>
          <t>Babcock, Steven:
eGGRT GHG Report</t>
        </r>
      </text>
    </comment>
    <comment ref="C13" authorId="0" shapeId="0" xr:uid="{00000000-0006-0000-0900-000013000000}">
      <text>
        <r>
          <rPr>
            <sz val="10"/>
            <rFont val="Arial"/>
            <family val="2"/>
          </rPr>
          <t>Babcock, Steven:
eGGRT GHG Report</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Unknown Author</author>
  </authors>
  <commentList>
    <comment ref="B4" authorId="0" shapeId="0" xr:uid="{00000000-0006-0000-0E00-000001000000}">
      <text>
        <r>
          <rPr>
            <sz val="10"/>
            <rFont val="Arial"/>
            <family val="2"/>
          </rPr>
          <t>Babcock, Steven:
Permit Limit</t>
        </r>
      </text>
    </comment>
    <comment ref="C4" authorId="0" shapeId="0" xr:uid="{00000000-0006-0000-0E00-00000A000000}">
      <text>
        <r>
          <rPr>
            <sz val="10"/>
            <rFont val="Arial"/>
            <family val="2"/>
          </rPr>
          <t>Babcock, Steven:
Permit Limit</t>
        </r>
      </text>
    </comment>
    <comment ref="B5" authorId="0" shapeId="0" xr:uid="{00000000-0006-0000-0E00-000002000000}">
      <text>
        <r>
          <rPr>
            <sz val="10"/>
            <rFont val="Arial"/>
            <family val="2"/>
          </rPr>
          <t>Babcock, Steven:
Permit Limit</t>
        </r>
      </text>
    </comment>
    <comment ref="C5" authorId="0" shapeId="0" xr:uid="{00000000-0006-0000-0E00-00000B000000}">
      <text>
        <r>
          <rPr>
            <sz val="10"/>
            <rFont val="Arial"/>
            <family val="2"/>
          </rPr>
          <t>Babcock, Steven:
Permit Limit</t>
        </r>
      </text>
    </comment>
    <comment ref="B6" authorId="0" shapeId="0" xr:uid="{00000000-0006-0000-0E00-000003000000}">
      <text>
        <r>
          <rPr>
            <sz val="10"/>
            <rFont val="Arial"/>
            <family val="2"/>
          </rPr>
          <t>Babcock, Steven:
Permit Limit</t>
        </r>
      </text>
    </comment>
    <comment ref="C6" authorId="0" shapeId="0" xr:uid="{00000000-0006-0000-0E00-00000C000000}">
      <text>
        <r>
          <rPr>
            <sz val="10"/>
            <rFont val="Arial"/>
            <family val="2"/>
          </rPr>
          <t>Babcock, Steven:
Permit Limit</t>
        </r>
      </text>
    </comment>
    <comment ref="B7" authorId="0" shapeId="0" xr:uid="{00000000-0006-0000-0E00-000004000000}">
      <text>
        <r>
          <rPr>
            <sz val="10"/>
            <rFont val="Arial"/>
            <family val="2"/>
          </rPr>
          <t>Babcock, Steven:
Permit Limit</t>
        </r>
      </text>
    </comment>
    <comment ref="C7" authorId="0" shapeId="0" xr:uid="{00000000-0006-0000-0E00-00000D000000}">
      <text>
        <r>
          <rPr>
            <sz val="10"/>
            <rFont val="Arial"/>
            <family val="2"/>
          </rPr>
          <t>Babcock, Steven:
Permit Limit</t>
        </r>
      </text>
    </comment>
    <comment ref="B8" authorId="0" shapeId="0" xr:uid="{00000000-0006-0000-0E00-000005000000}">
      <text>
        <r>
          <rPr>
            <sz val="10"/>
            <rFont val="Arial"/>
            <family val="2"/>
          </rPr>
          <t>Babcock, Steven:
Permit Limit</t>
        </r>
      </text>
    </comment>
    <comment ref="C8" authorId="0" shapeId="0" xr:uid="{00000000-0006-0000-0E00-00000E000000}">
      <text>
        <r>
          <rPr>
            <sz val="10"/>
            <rFont val="Arial"/>
            <family val="2"/>
          </rPr>
          <t>Babcock, Steven:
Permit Limit</t>
        </r>
      </text>
    </comment>
    <comment ref="B9" authorId="0" shapeId="0" xr:uid="{00000000-0006-0000-0E00-000006000000}">
      <text>
        <r>
          <rPr>
            <sz val="10"/>
            <rFont val="Arial"/>
            <family val="2"/>
          </rPr>
          <t>Babcock, Steven:
Permit Limit</t>
        </r>
      </text>
    </comment>
    <comment ref="C9" authorId="0" shapeId="0" xr:uid="{00000000-0006-0000-0E00-00000F000000}">
      <text>
        <r>
          <rPr>
            <sz val="10"/>
            <rFont val="Arial"/>
            <family val="2"/>
          </rPr>
          <t>Babcock, Steven:
Permit Limit</t>
        </r>
      </text>
    </comment>
    <comment ref="B10" authorId="0" shapeId="0" xr:uid="{00000000-0006-0000-0E00-000007000000}">
      <text>
        <r>
          <rPr>
            <sz val="10"/>
            <rFont val="Arial"/>
            <family val="2"/>
          </rPr>
          <t>Babcock, Steven:
Permit Limit</t>
        </r>
      </text>
    </comment>
    <comment ref="C10" authorId="0" shapeId="0" xr:uid="{00000000-0006-0000-0E00-000010000000}">
      <text>
        <r>
          <rPr>
            <sz val="10"/>
            <rFont val="Arial"/>
            <family val="2"/>
          </rPr>
          <t>Babcock, Steven:
AP-42 Section 1.3</t>
        </r>
      </text>
    </comment>
    <comment ref="B11" authorId="0" shapeId="0" xr:uid="{00000000-0006-0000-0E00-000008000000}">
      <text>
        <r>
          <rPr>
            <sz val="10"/>
            <rFont val="Arial"/>
            <family val="2"/>
          </rPr>
          <t>Babcock, Steven:
Permit Limit</t>
        </r>
      </text>
    </comment>
    <comment ref="C11" authorId="0" shapeId="0" xr:uid="{00000000-0006-0000-0E00-000011000000}">
      <text>
        <r>
          <rPr>
            <sz val="10"/>
            <rFont val="Arial"/>
            <family val="2"/>
          </rPr>
          <t>Babcock, Steven:
Permit Limit</t>
        </r>
      </text>
    </comment>
    <comment ref="B13" authorId="0" shapeId="0" xr:uid="{00000000-0006-0000-0E00-000009000000}">
      <text>
        <r>
          <rPr>
            <sz val="10"/>
            <rFont val="Arial"/>
            <family val="2"/>
          </rPr>
          <t>Babcock, Steven:
40 CFR 98, Subpart C</t>
        </r>
      </text>
    </comment>
    <comment ref="C13" authorId="0" shapeId="0" xr:uid="{00000000-0006-0000-0E00-000012000000}">
      <text>
        <r>
          <rPr>
            <sz val="10"/>
            <rFont val="Arial"/>
            <family val="2"/>
          </rPr>
          <t>Babcock, Steven:
40 CFR 98, Subpart C</t>
        </r>
      </text>
    </comment>
  </commentList>
</comments>
</file>

<file path=xl/sharedStrings.xml><?xml version="1.0" encoding="utf-8"?>
<sst xmlns="http://schemas.openxmlformats.org/spreadsheetml/2006/main" count="13306" uniqueCount="1507">
  <si>
    <t>Inventario de Emisiones</t>
  </si>
  <si>
    <t>January</t>
  </si>
  <si>
    <t>February</t>
  </si>
  <si>
    <t>March</t>
  </si>
  <si>
    <t>April</t>
  </si>
  <si>
    <t>May</t>
  </si>
  <si>
    <t>June</t>
  </si>
  <si>
    <t>Total Emisiones (tons) January–June</t>
  </si>
  <si>
    <t>Total Emisiones Permisibles (tons/year)</t>
  </si>
  <si>
    <t>Pollutant</t>
  </si>
  <si>
    <t>San Juan</t>
  </si>
  <si>
    <t>PM</t>
  </si>
  <si>
    <t>PM10</t>
  </si>
  <si>
    <t>SO2</t>
  </si>
  <si>
    <t>NOx</t>
  </si>
  <si>
    <t>CO</t>
  </si>
  <si>
    <t>VOC</t>
  </si>
  <si>
    <t>Pb</t>
  </si>
  <si>
    <t>CO2e</t>
  </si>
  <si>
    <t>N/A</t>
  </si>
  <si>
    <t>Total</t>
  </si>
  <si>
    <t>Palo Seco</t>
  </si>
  <si>
    <t>Subtotal</t>
  </si>
  <si>
    <t>Ni Comp</t>
  </si>
  <si>
    <t>Mn Comp</t>
  </si>
  <si>
    <t>Formaldehido</t>
  </si>
  <si>
    <t>Tolueno</t>
  </si>
  <si>
    <t>POM</t>
  </si>
  <si>
    <t>CAPs Total</t>
  </si>
  <si>
    <t>Subtotal CAPs</t>
  </si>
  <si>
    <t>Aguirre</t>
  </si>
  <si>
    <t>PM Total</t>
  </si>
  <si>
    <t>Chloride</t>
  </si>
  <si>
    <t>Costa Sur</t>
  </si>
  <si>
    <t>PM2.5</t>
  </si>
  <si>
    <t>SOx</t>
  </si>
  <si>
    <t>H2SO4</t>
  </si>
  <si>
    <t>Fluoruro</t>
  </si>
  <si>
    <t>Cambalache</t>
  </si>
  <si>
    <t>Mayagüez</t>
  </si>
  <si>
    <t>Dagüao</t>
  </si>
  <si>
    <t>Jobos</t>
  </si>
  <si>
    <t>Vega Baja</t>
  </si>
  <si>
    <t>Yabucoa</t>
  </si>
  <si>
    <t>yearly Total</t>
  </si>
  <si>
    <t>Total Emisiones</t>
  </si>
  <si>
    <t>Total Permisible</t>
  </si>
  <si>
    <t>Criteria</t>
  </si>
  <si>
    <t>Million MMBtu</t>
  </si>
  <si>
    <t>lb/MMBtu</t>
  </si>
  <si>
    <t>GWh</t>
  </si>
  <si>
    <t>C ton/MWH</t>
  </si>
  <si>
    <t>Toneladas</t>
  </si>
  <si>
    <t>Totales</t>
  </si>
  <si>
    <t>LB/MMBtu Ind,</t>
  </si>
  <si>
    <t>Costa Sur BC Consumption 2022</t>
  </si>
  <si>
    <t>Galones</t>
  </si>
  <si>
    <t>Azufre</t>
  </si>
  <si>
    <t>Barrels</t>
  </si>
  <si>
    <t>year</t>
  </si>
  <si>
    <t>CS3</t>
  </si>
  <si>
    <t>CS4</t>
  </si>
  <si>
    <t>CS5</t>
  </si>
  <si>
    <t>CS6</t>
  </si>
  <si>
    <t>CS #2 FO Consumption 2022</t>
  </si>
  <si>
    <t>SCGT1-1</t>
  </si>
  <si>
    <t>SCGT1-2</t>
  </si>
  <si>
    <t>Costa Sur Natural Gas Consumtion 2022</t>
  </si>
  <si>
    <t>SCF</t>
  </si>
  <si>
    <t>Unit 5</t>
  </si>
  <si>
    <t>Unit 6</t>
  </si>
  <si>
    <t>TOTAL</t>
  </si>
  <si>
    <t>Cómputo de Emisiones Actuales - Costa Sur (Turbinas 1-1 &amp; 1-2) JUNIO 2022</t>
  </si>
  <si>
    <t>Factores de Emisión AP-42 Section 3.1</t>
  </si>
  <si>
    <t>0.012lb/MMBTU</t>
  </si>
  <si>
    <t>1.01*%S lb/MMBTU</t>
  </si>
  <si>
    <t>0.880 lb/MMBTU</t>
  </si>
  <si>
    <t>0.00041 lb/MMBTU</t>
  </si>
  <si>
    <t>C0</t>
  </si>
  <si>
    <t>0.0033 lb/MMBTU</t>
  </si>
  <si>
    <t>0.0000140 lb MMBTU</t>
  </si>
  <si>
    <t>163.61 lb/MMBtu (40 CFR 98, Subpart C)</t>
  </si>
  <si>
    <t>Combustible #2</t>
  </si>
  <si>
    <t>gal/year</t>
  </si>
  <si>
    <t>Azufre %</t>
  </si>
  <si>
    <t>Cálculos Emisiones PM</t>
  </si>
  <si>
    <t>=</t>
  </si>
  <si>
    <t>lb</t>
  </si>
  <si>
    <t>gal</t>
  </si>
  <si>
    <t>MMBTU</t>
  </si>
  <si>
    <t>ton</t>
  </si>
  <si>
    <t>año</t>
  </si>
  <si>
    <t>hr</t>
  </si>
  <si>
    <t>Cálculos Emisiones SOx</t>
  </si>
  <si>
    <t>Cálculos Emisiones NOx</t>
  </si>
  <si>
    <t>Cálculos Emisiones VOC</t>
  </si>
  <si>
    <t>Cálculos Emisiones CO</t>
  </si>
  <si>
    <t>Cálculos Emisiones Pb</t>
  </si>
  <si>
    <t>Cálculos Emisiones CO2e</t>
  </si>
  <si>
    <t>Cómputo de Emisiones Actuales JUNIO 2022 - Costa Sur 3 y 4</t>
  </si>
  <si>
    <t>Factores de Emisión AP-42</t>
  </si>
  <si>
    <t>(9.19)(%S) + 3.22 lb/1000gal</t>
  </si>
  <si>
    <t>(157)*%S lb/1000gal</t>
  </si>
  <si>
    <t>32 (Tangencial) lb/1000gal</t>
  </si>
  <si>
    <t>0.76 lb/1000gal</t>
  </si>
  <si>
    <t>5 lb/1000gal</t>
  </si>
  <si>
    <t>0.00151 lb/1000gal</t>
  </si>
  <si>
    <t>Combustible #6</t>
  </si>
  <si>
    <t>gal/año</t>
  </si>
  <si>
    <t>Cómputo de Emisiones Actuales para Bunker C y Gas Natural - Costa Sur JUNIO 2022 - Unidad 5*</t>
  </si>
  <si>
    <t>Parametro</t>
  </si>
  <si>
    <t>Factor de Emisión
Combustible Natural Gas</t>
  </si>
  <si>
    <t>Factor de Emisión
Combustible No. 6 Oil</t>
  </si>
  <si>
    <t>Emisiones Actuales (ton/year)</t>
  </si>
  <si>
    <t>Emisiones Actuales (lb/hr)</t>
  </si>
  <si>
    <t>Ecuación para el Cómputo</t>
  </si>
  <si>
    <t>ton/year =</t>
  </si>
  <si>
    <t>[Consumo de Combustible #6 en galones/year) * ( Valor Calorífico BC 0.15 MMBtu/gal)</t>
  </si>
  <si>
    <t>+ (Consumo Gas Natural SCF/year) * (Valor Calorífico GN 1,040 MMBtu/SCF*10^6)]</t>
  </si>
  <si>
    <t>* FE en lbs/MMBtu * 1 ton/2,000 lbs</t>
  </si>
  <si>
    <t>157*%S</t>
  </si>
  <si>
    <t>lbs/hr =</t>
  </si>
  <si>
    <t xml:space="preserve">(Toneladas Contaminante / year) * (1 year / 8,760 hr) * (2000 lb / ton) </t>
  </si>
  <si>
    <t>lbs/gal</t>
  </si>
  <si>
    <t>lbs/scf</t>
  </si>
  <si>
    <t>25.618 lbs/gal</t>
  </si>
  <si>
    <t>0.1205 lbs/SCF</t>
  </si>
  <si>
    <t>Consumo #6 =</t>
  </si>
  <si>
    <t>Consumo NG =</t>
  </si>
  <si>
    <t>SCF/year</t>
  </si>
  <si>
    <t>#6 Azufre =</t>
  </si>
  <si>
    <t>%</t>
  </si>
  <si>
    <t>NOx =</t>
  </si>
  <si>
    <t xml:space="preserve">galones  </t>
  </si>
  <si>
    <t xml:space="preserve">MMBtu            </t>
  </si>
  <si>
    <t>*</t>
  </si>
  <si>
    <t xml:space="preserve">lbs         </t>
  </si>
  <si>
    <t>+</t>
  </si>
  <si>
    <t xml:space="preserve">SCF       </t>
  </si>
  <si>
    <t xml:space="preserve">MMBtu   </t>
  </si>
  <si>
    <t>MMBtu</t>
  </si>
  <si>
    <t>lbs</t>
  </si>
  <si>
    <t>ton/year</t>
  </si>
  <si>
    <t>lb/hr</t>
  </si>
  <si>
    <t>CO =</t>
  </si>
  <si>
    <t>VOC =</t>
  </si>
  <si>
    <t>PM =</t>
  </si>
  <si>
    <t>PM10 =</t>
  </si>
  <si>
    <t>PM2.5 =</t>
  </si>
  <si>
    <t>SO2 =</t>
  </si>
  <si>
    <t>gals</t>
  </si>
  <si>
    <t>H2SO4 =</t>
  </si>
  <si>
    <t>Pb =</t>
  </si>
  <si>
    <t>CO2e =</t>
  </si>
  <si>
    <t>Nota:</t>
  </si>
  <si>
    <t>* La formula y los factores de emisión utilizados son los aprobados en la última revisión del permiso</t>
  </si>
  <si>
    <t xml:space="preserve">de construcción PFE-31-0810-0455-II-C, con fecha del 21 de JUNIO de 2012, para la quema dual </t>
  </si>
  <si>
    <t>de combustible 100% Bunker C y 100% Gas Natural, según corresponda.</t>
  </si>
  <si>
    <t>Cómputo de Emisiones Actuales para Bunker C y Gas Natural - Costa Sur JUNIO 2022 - Unidad 6*</t>
  </si>
  <si>
    <t>San Juan BC Consumption 2023</t>
  </si>
  <si>
    <t>SJ7</t>
  </si>
  <si>
    <t>SJ8</t>
  </si>
  <si>
    <t>SJ9</t>
  </si>
  <si>
    <t>SJ10</t>
  </si>
  <si>
    <t>SJ #2FO Consumption 2023</t>
  </si>
  <si>
    <t>San Juan Natural Gas Consumtion 2023</t>
  </si>
  <si>
    <t>Horas</t>
  </si>
  <si>
    <t>SJCC5</t>
  </si>
  <si>
    <t>SJCC6</t>
  </si>
  <si>
    <t>Cómputo de Emisiones Actuales  JUNIO 2022 - San Juan 7-10</t>
  </si>
  <si>
    <t>Factores de Emisión de acuerdo a Permiso Título V</t>
  </si>
  <si>
    <t>0.040    lbs/MMBtu</t>
  </si>
  <si>
    <t>MATS Emission Limit + AP-42 Section 1.3 Condensable PM</t>
  </si>
  <si>
    <t>0.030     lbs/MMBtu</t>
  </si>
  <si>
    <t>MATS Emission Limit</t>
  </si>
  <si>
    <t>157*%S lbs/1000gal</t>
  </si>
  <si>
    <t xml:space="preserve">AP-42 Section 1.3 </t>
  </si>
  <si>
    <t>0.0405    lbs/MMBtu</t>
  </si>
  <si>
    <t>NOx (7&amp;8)</t>
  </si>
  <si>
    <t>47        lbs/1000gal</t>
  </si>
  <si>
    <t>AP-42 Section 1.3 wall fired boilers</t>
  </si>
  <si>
    <t>NOx (9&amp;10)</t>
  </si>
  <si>
    <t>32       lbs/1000gal</t>
  </si>
  <si>
    <t>AP-42 Section 1.3 tangential fired boilers</t>
  </si>
  <si>
    <t>0.76        lbs/1000gal</t>
  </si>
  <si>
    <t>5             lbs/1000gal</t>
  </si>
  <si>
    <t>0.00151   lbs/1000gal</t>
  </si>
  <si>
    <t>24.891 lbs/gal</t>
  </si>
  <si>
    <t>eGGRT GHG Report</t>
  </si>
  <si>
    <t>gal/year 7&amp;8</t>
  </si>
  <si>
    <t>gal/year 9&amp;10</t>
  </si>
  <si>
    <t>% Azufre</t>
  </si>
  <si>
    <t>NO INCLUIR EN PRINT OUT"=('San Juan'!J17+'San Juan'!K17+'San Juan'!L17+'San Juan'!M17)/4" se saco del promedio a la u-10 ya que estubo apagada</t>
  </si>
  <si>
    <t>Cálculos Emisiones PM10</t>
  </si>
  <si>
    <t>Cálculos Emisiones H2SO4</t>
  </si>
  <si>
    <t>Cálculos Emisiones SO2</t>
  </si>
  <si>
    <t>NOTA PARA EFECTOS DE CALCULO SE SUBSTITUYO EL PROMEDIO DE AZUFRE POR EL CALCULO A MANO = .47; LA CELDA DEBE SER =B14</t>
  </si>
  <si>
    <t>Cálculos Emisiones Nox (7&amp;8)</t>
  </si>
  <si>
    <t>Cálculos Emisiones Nox (9&amp;10)</t>
  </si>
  <si>
    <t>Cómputo de Emisiones Actuales para Distillate Oil y Gas Natural - San Juan JUNIO 2022 - Unidad 5</t>
  </si>
  <si>
    <t>Factor de Emisión
Combustible No. 2 Oil</t>
  </si>
  <si>
    <t>[Consumo de Combustible #6 en galones/year) * ( Valor Calorífico BC 0.138 MMBtu/gal)</t>
  </si>
  <si>
    <t>+ (Consumo Gas Natural SCF/year) * (Valor Calorífico GN 1,020 MMBtu/SCF*10^6)]</t>
  </si>
  <si>
    <t>1.01*%S</t>
  </si>
  <si>
    <t>22.578 lbs/gal</t>
  </si>
  <si>
    <t>Consumo #2 =</t>
  </si>
  <si>
    <t>#2 Azufre =</t>
  </si>
  <si>
    <t>Cómputo de Emisiones Actuales para Distillate Oil y Gas Natural - San Juan JUNIO 2024 - Unidad 5</t>
  </si>
  <si>
    <t>Aguirre BC Consumption 2023</t>
  </si>
  <si>
    <t>Azufre % por peso</t>
  </si>
  <si>
    <t>Total
gal/year</t>
  </si>
  <si>
    <t>AG-1</t>
  </si>
  <si>
    <t>AG-2</t>
  </si>
  <si>
    <t>avg</t>
  </si>
  <si>
    <t>Aguirre CC #2 FO Consumption 2023</t>
  </si>
  <si>
    <t>CC1-1</t>
  </si>
  <si>
    <t>CC1-2</t>
  </si>
  <si>
    <t>CC1-3</t>
  </si>
  <si>
    <t>CC1-4</t>
  </si>
  <si>
    <t>CC2-1</t>
  </si>
  <si>
    <t>CC2-2</t>
  </si>
  <si>
    <t>CC2-3</t>
  </si>
  <si>
    <t>CC2-4</t>
  </si>
  <si>
    <t>Aguirre Turbines #2 FO Consumption 2020</t>
  </si>
  <si>
    <t>Ejemplo Cómputo de Emisiones JUNIO 2022 - Termoleléctrica Aguirre  1 y Aguirre 2</t>
  </si>
  <si>
    <t>Ejemplo Cómputo de Emisiones JUNIO 2022 - Aguirre (Ciclo Combinado + Turbinas de Gas)</t>
  </si>
  <si>
    <t>Factores de Emisión AP-42 Section 1.3</t>
  </si>
  <si>
    <t>0.012          lb/MMBTU</t>
  </si>
  <si>
    <t>157*%S lb/1000gal</t>
  </si>
  <si>
    <t>1.01*%S     lb/MMBTU</t>
  </si>
  <si>
    <t>0.33 lb/MMBtu (CD Relatively Maintained NOx Target)</t>
  </si>
  <si>
    <t>0.880          lb/MMBTU</t>
  </si>
  <si>
    <t>0.00041      lb/MMBTU</t>
  </si>
  <si>
    <t>0.0033        lb/MMBTU</t>
  </si>
  <si>
    <t>0.0000140   lb/MMBTU</t>
  </si>
  <si>
    <t>25.036 lb/gal</t>
  </si>
  <si>
    <t>40 CFR 98</t>
  </si>
  <si>
    <t>22.578 lb/gal</t>
  </si>
  <si>
    <t>0.15 MMBtu</t>
  </si>
  <si>
    <t>Palo Seco BC Consumption 2026</t>
  </si>
  <si>
    <t>Gallons</t>
  </si>
  <si>
    <t>PS-1</t>
  </si>
  <si>
    <t>PS-2</t>
  </si>
  <si>
    <t>PS-3</t>
  </si>
  <si>
    <t>PS-4</t>
  </si>
  <si>
    <t>Total
(gal/yr)</t>
  </si>
  <si>
    <t>Palo Seco #2 FO Consumtion 2026</t>
  </si>
  <si>
    <t>PSGT1-1</t>
  </si>
  <si>
    <t>PSGT1-2</t>
  </si>
  <si>
    <t>PSGT2-1</t>
  </si>
  <si>
    <t>PSGT2-2</t>
  </si>
  <si>
    <t>PSGT3-1</t>
  </si>
  <si>
    <t>PSGT3-2</t>
  </si>
  <si>
    <t>Palo Seco MobilePacs</t>
  </si>
  <si>
    <t>Gallons Distillate</t>
  </si>
  <si>
    <t>SCF Natural Gas</t>
  </si>
  <si>
    <t>PSMP1</t>
  </si>
  <si>
    <t>PSMP2</t>
  </si>
  <si>
    <t>PSMP3</t>
  </si>
  <si>
    <t>MP1</t>
  </si>
  <si>
    <t>MP2</t>
  </si>
  <si>
    <t>MP3</t>
  </si>
  <si>
    <t>Cómputo de Emisiones Actuales JUNIO 2022 - Palo Seco (Termo) - Unidades 1 a 4</t>
  </si>
  <si>
    <t>Cómputo de Emisiones Actuales JUNIO 2022 - Palo Seco (Turbinas) - Bloques 1 a 3</t>
  </si>
  <si>
    <t>0.36 lb/MMBtu (CD Relatively Maintained NOx Target)</t>
  </si>
  <si>
    <t>0.88 lb/MMBTU</t>
  </si>
  <si>
    <t>0.00041 l/MMBTU</t>
  </si>
  <si>
    <t>HAP,s (Pb)</t>
  </si>
  <si>
    <t>0.000014 lb MMBTU</t>
  </si>
  <si>
    <t>24.632 lb/gal</t>
  </si>
  <si>
    <t>Cómputo de Emisiones Actuales para Distillate OIl y Gas Natural - Palo Seco JUNIO 2022 - MobilePacs</t>
  </si>
  <si>
    <t>[Consumo de Combustible #2 en galones/year) * ( Valor Calorífico BC 0.138 MMBtu/gal)</t>
  </si>
  <si>
    <t>+ (Consumo Gas Natural SCF/year) * (Valor Calorífico GN 1,026 MMBtu/SCF*10^6)]</t>
  </si>
  <si>
    <t xml:space="preserve">de construcción PFE-31-0810-0455-II-C, con fecha del 21 de marzo de 2012, para la quema dual </t>
  </si>
  <si>
    <t>Vega Baja FO#2 2022</t>
  </si>
  <si>
    <t>Daguao FO#2 2022</t>
  </si>
  <si>
    <t>YabucoaFO#2 2022</t>
  </si>
  <si>
    <t>Jobos FO#2 2022</t>
  </si>
  <si>
    <t xml:space="preserve"> % Azufre</t>
  </si>
  <si>
    <t>VBGT1-1</t>
  </si>
  <si>
    <t>VBGT1-2</t>
  </si>
  <si>
    <t>DAGT1-1</t>
  </si>
  <si>
    <t>DAGT1-2</t>
  </si>
  <si>
    <t>Mon th</t>
  </si>
  <si>
    <t>YAGT1-1</t>
  </si>
  <si>
    <t>YAGT1-2</t>
  </si>
  <si>
    <t>JOGT1-1</t>
  </si>
  <si>
    <t>JOGT1-2</t>
  </si>
  <si>
    <t>DAGGT1-1</t>
  </si>
  <si>
    <t>DAGGT1-2</t>
  </si>
  <si>
    <t>MAG-5</t>
  </si>
  <si>
    <t>MAG-6</t>
  </si>
  <si>
    <t>MAG-7</t>
  </si>
  <si>
    <t>MAG-8</t>
  </si>
  <si>
    <t>PROMEDIO ANNUAL</t>
  </si>
  <si>
    <t>Total gal/yr</t>
  </si>
  <si>
    <t>Mayaguez FO#2 2022</t>
  </si>
  <si>
    <t>Cambalache FO#2 2022</t>
  </si>
  <si>
    <t>CAMB 1</t>
  </si>
  <si>
    <t>CAMB 2</t>
  </si>
  <si>
    <t>CAMB 3</t>
  </si>
  <si>
    <t xml:space="preserve">                                                                                                                                                 </t>
  </si>
  <si>
    <t>Cómputo de Emisiones 2025 - Central Cambalache Unidad 2</t>
  </si>
  <si>
    <t>Cómputo de Emisiones 2025 - Central Cambalache Unidad 3</t>
  </si>
  <si>
    <t>Horas de Operacion @ 60 %</t>
  </si>
  <si>
    <t>Cambalache 1</t>
  </si>
  <si>
    <t>Cambalache 2</t>
  </si>
  <si>
    <t>Cambalache 3</t>
  </si>
  <si>
    <t>Cálculos con los Factores de Emisión AP-42</t>
  </si>
  <si>
    <t>PM10        =</t>
  </si>
  <si>
    <t>[(51 lb/hr @100% carga * horas @100% carga)+(51 lb/hr @60% carga1 *  horas @ 60%carga)]/(2000 ton/lb)</t>
  </si>
  <si>
    <t>SOx         =</t>
  </si>
  <si>
    <t>[(137 lb/hr @100% carga * horas @100% carga)+(137 lb/hr @60% carga1 *  horas @60% carga)]/(2000 ton/lb)</t>
  </si>
  <si>
    <t>CEMS</t>
  </si>
  <si>
    <t>VOC        =</t>
  </si>
  <si>
    <t>[(13 lb/hr @100% carga * horas @100% carga)+(11 lb/hr @60% carga1 *  horas @60% carga)]/(2000 ton/lb)</t>
  </si>
  <si>
    <t>Pb           =</t>
  </si>
  <si>
    <t>[(0.023 lb/hr @100% carga*horas @100% carga)+(0.016 lb/hr @60% carga1*horas @60% carga)]/(2000 ton/lb)</t>
  </si>
  <si>
    <t>Combustible</t>
  </si>
  <si>
    <t>Hrs @100% Carga</t>
  </si>
  <si>
    <t>hrs</t>
  </si>
  <si>
    <t>Hrs @60% Carga</t>
  </si>
  <si>
    <t>Horas de Operacion @ 100 %</t>
  </si>
  <si>
    <t xml:space="preserve">horas     </t>
  </si>
  <si>
    <t>horas</t>
  </si>
  <si>
    <t>Cambalache Emissions 2025
As reported in CEMS</t>
  </si>
  <si>
    <t>NOx (lb)</t>
  </si>
  <si>
    <t>CO (lb)</t>
  </si>
  <si>
    <t>NOx (lb) UNIT 2</t>
  </si>
  <si>
    <t>NOx (lb) UNIT 3</t>
  </si>
  <si>
    <t>TOTAL U-2 &amp; 3</t>
  </si>
  <si>
    <t>CO (lb) UNIT 2</t>
  </si>
  <si>
    <t>CO (lb) UNIT 3</t>
  </si>
  <si>
    <t>July</t>
  </si>
  <si>
    <t>August</t>
  </si>
  <si>
    <t>September</t>
  </si>
  <si>
    <t>October</t>
  </si>
  <si>
    <t>November</t>
  </si>
  <si>
    <t>December</t>
  </si>
  <si>
    <t>Total (lb/yr)</t>
  </si>
  <si>
    <t>Total (ton/yr)</t>
  </si>
  <si>
    <t>TOTAL COMBINED</t>
  </si>
  <si>
    <t>Cómputo de Emisiones Actuales JUNIO 2022- Daguao Unidad 1</t>
  </si>
  <si>
    <t>Cómputo de Emisiones Actuales JUNIO 2022- Daguao Unidad 2</t>
  </si>
  <si>
    <t>0.012 lb/MMBTU</t>
  </si>
  <si>
    <t>gal/yr</t>
  </si>
  <si>
    <t>galones</t>
  </si>
  <si>
    <t>Cómputo de Emisiones Actuales JUNIO 2022 - YAGT1-1</t>
  </si>
  <si>
    <t>Cómputo de Emisiones Actuales JUNIO 2022 - YAGT1-2</t>
  </si>
  <si>
    <t>AP-42 Fifth Edition, Volume I, Chapter 3.1</t>
  </si>
  <si>
    <t>Stationary Internal Combustion Sources</t>
  </si>
  <si>
    <t>lb/MMBTU</t>
  </si>
  <si>
    <t>*S lb/MMBTU</t>
  </si>
  <si>
    <t>(Unidades limitadas a 2,600 hrs de operación anual)</t>
  </si>
  <si>
    <t>Cómputo de Emisiones Actuales JUNIO 2022 - Vega Baja VBGT1-1</t>
  </si>
  <si>
    <t>Cómputo de Emisiones Actuales JUNIO 2022 - Vega Baja VBGT1-2</t>
  </si>
  <si>
    <t xml:space="preserve">AP-42, Fifth Edition, Volume I, Chapter 3.1: </t>
  </si>
  <si>
    <t>Cómputo de Emisiones Actuales JUNIO 2022 - JOGT1-1</t>
  </si>
  <si>
    <t>Cómputo de Emisiones Actuales JUNIO 2022 - JOGT1-2</t>
  </si>
  <si>
    <t>(Units limited to 2,600 hrs of operation per year)</t>
  </si>
  <si>
    <t>Cómputo de Emisiones Actuales JUNIO 2022- Mayagüez MAYGT5</t>
  </si>
  <si>
    <t>Cómputo de Emisiones Actuales JUNIO 2022- Mayagüez MAYGT6</t>
  </si>
  <si>
    <t>Cómputo de Emisiones Actuales JUNIO 2022 - Mayagüez MAYGT7</t>
  </si>
  <si>
    <t>Cómputo de Emisiones Actuales JUNIO 2022 - Mayagüez MAYGT8</t>
  </si>
  <si>
    <t>Factores de Emisión AP-42 Sect. 3.1</t>
  </si>
  <si>
    <t>0.288 lb/MMBTU</t>
  </si>
  <si>
    <t>Permit Limit (PFE-50-0307-0286-I-II-C)</t>
  </si>
  <si>
    <t>gals/year</t>
  </si>
  <si>
    <t>Cómputo de Emisiones Actuales JUNIO 2022 - Mayagüez MAYGT5</t>
  </si>
  <si>
    <t>Cómputo de Emisiones Actuales JUNIO 2022 - Mayagüez MAYGT6</t>
  </si>
  <si>
    <t>DATOS DE ORIGEN — ENERO A JUNIO 2026</t>
  </si>
  <si>
    <t>Valores tomados de los reportes mensuales de consumo de combustible y cálculo de emisiones, organizados por hoja y celda de origen.</t>
  </si>
  <si>
    <t>Enero</t>
  </si>
  <si>
    <t>001)Consumos Combustible y Cálculos de Emisiones 2026 ENERO.xlsx</t>
  </si>
  <si>
    <t>Febrero</t>
  </si>
  <si>
    <t>002)Consumos Combustible y Cálculos de Emisiones 2026 FEBRERO.xlsx</t>
  </si>
  <si>
    <t>Marzo</t>
  </si>
  <si>
    <t>003)Consumos Combustible y Calculos de Emisiones 2026 MARZO.xlsx</t>
  </si>
  <si>
    <t>Abril</t>
  </si>
  <si>
    <t>004)Consumos Combustible y Cálculos de Emisiones 2026 ABRIL.xlsx</t>
  </si>
  <si>
    <t>Mayo</t>
  </si>
  <si>
    <t>005)Consumos Combustible y Cálculos de Emisiones 2026 MAYO.xlsx</t>
  </si>
  <si>
    <t>Junio</t>
  </si>
  <si>
    <t>006)Consumos Combustible y Cálculos de Emisiones 2026 JUNIO.xlsx</t>
  </si>
  <si>
    <t>Cada fila corresponde a una celda de la hoja de origen indicada. Las columnas de enero a junio contienen el valor de esa celda en el reporte de cada mes.</t>
  </si>
  <si>
    <t>Una celda vacía indica que el reporte de ese mes no contiene valor en esa posición.</t>
  </si>
  <si>
    <t>Hoja de origen</t>
  </si>
  <si>
    <t>Celda</t>
  </si>
  <si>
    <t>Tipo de valor</t>
  </si>
  <si>
    <t>Ene 2026</t>
  </si>
  <si>
    <t>Feb 2026</t>
  </si>
  <si>
    <t>Mar 2026</t>
  </si>
  <si>
    <t>Abr 2026</t>
  </si>
  <si>
    <t>May 2026</t>
  </si>
  <si>
    <t>Jun 2026</t>
  </si>
  <si>
    <t>Sección en la hoja de origen</t>
  </si>
  <si>
    <t>B5</t>
  </si>
  <si>
    <t>Dato</t>
  </si>
  <si>
    <t>2024-01-01 00:00:00</t>
  </si>
  <si>
    <t>C5</t>
  </si>
  <si>
    <t>D5</t>
  </si>
  <si>
    <t>2025-01-01 00:00:00</t>
  </si>
  <si>
    <t>E5</t>
  </si>
  <si>
    <t>F5</t>
  </si>
  <si>
    <t>G5</t>
  </si>
  <si>
    <t>H5</t>
  </si>
  <si>
    <t>I5</t>
  </si>
  <si>
    <t>B6</t>
  </si>
  <si>
    <t>2024-02-01 00:00:00</t>
  </si>
  <si>
    <t>C6</t>
  </si>
  <si>
    <t>D6</t>
  </si>
  <si>
    <t>Cálculo</t>
  </si>
  <si>
    <t>2026-02-01 00:00:00</t>
  </si>
  <si>
    <t>E6</t>
  </si>
  <si>
    <t>F6</t>
  </si>
  <si>
    <t>G6</t>
  </si>
  <si>
    <t>H6</t>
  </si>
  <si>
    <t>I6</t>
  </si>
  <si>
    <t>L6</t>
  </si>
  <si>
    <t>M6</t>
  </si>
  <si>
    <t>B7</t>
  </si>
  <si>
    <t>2024-03-01 00:00:00</t>
  </si>
  <si>
    <t>C7</t>
  </si>
  <si>
    <t>D7</t>
  </si>
  <si>
    <t>E7</t>
  </si>
  <si>
    <t>F7</t>
  </si>
  <si>
    <t>G7</t>
  </si>
  <si>
    <t>H7</t>
  </si>
  <si>
    <t>I7</t>
  </si>
  <si>
    <t>L7</t>
  </si>
  <si>
    <t>M7</t>
  </si>
  <si>
    <t>B8</t>
  </si>
  <si>
    <t>2024-04-01 00:00:00</t>
  </si>
  <si>
    <t>C8</t>
  </si>
  <si>
    <t>D8</t>
  </si>
  <si>
    <t>E8</t>
  </si>
  <si>
    <t>F8</t>
  </si>
  <si>
    <t>G8</t>
  </si>
  <si>
    <t>H8</t>
  </si>
  <si>
    <t>I8</t>
  </si>
  <si>
    <t>B9</t>
  </si>
  <si>
    <t>2024-05-01 00:00:00</t>
  </si>
  <si>
    <t>C9</t>
  </si>
  <si>
    <t>D9</t>
  </si>
  <si>
    <t>2022-05-01 00:00:00</t>
  </si>
  <si>
    <t>E9</t>
  </si>
  <si>
    <t>F9</t>
  </si>
  <si>
    <t>G9</t>
  </si>
  <si>
    <t>H9</t>
  </si>
  <si>
    <t>I9</t>
  </si>
  <si>
    <t>B10</t>
  </si>
  <si>
    <t>2024-06-01 00:00:00</t>
  </si>
  <si>
    <t>C10</t>
  </si>
  <si>
    <t>D10</t>
  </si>
  <si>
    <t>E10</t>
  </si>
  <si>
    <t>F10</t>
  </si>
  <si>
    <t>G10</t>
  </si>
  <si>
    <t>H10</t>
  </si>
  <si>
    <t>I10</t>
  </si>
  <si>
    <t>B11</t>
  </si>
  <si>
    <t>2024-07-01 00:00:00</t>
  </si>
  <si>
    <t>C11</t>
  </si>
  <si>
    <t>F11</t>
  </si>
  <si>
    <t>G11</t>
  </si>
  <si>
    <t>B12</t>
  </si>
  <si>
    <t>2024-08-01 00:00:00</t>
  </si>
  <si>
    <t>C12</t>
  </si>
  <si>
    <t>F12</t>
  </si>
  <si>
    <t>G12</t>
  </si>
  <si>
    <t>B13</t>
  </si>
  <si>
    <t>2024-09-01 00:00:00</t>
  </si>
  <si>
    <t>C13</t>
  </si>
  <si>
    <t>F13</t>
  </si>
  <si>
    <t>G13</t>
  </si>
  <si>
    <t>B14</t>
  </si>
  <si>
    <t>2024-10-01 00:00:00</t>
  </si>
  <si>
    <t>C14</t>
  </si>
  <si>
    <t>F14</t>
  </si>
  <si>
    <t>G14</t>
  </si>
  <si>
    <t>B15</t>
  </si>
  <si>
    <t>2024-11-01 00:00:00</t>
  </si>
  <si>
    <t>C15</t>
  </si>
  <si>
    <t>F15</t>
  </si>
  <si>
    <t>G15</t>
  </si>
  <si>
    <t>B16</t>
  </si>
  <si>
    <t>2024-12-01 00:00:00</t>
  </si>
  <si>
    <t>C16</t>
  </si>
  <si>
    <t>F16</t>
  </si>
  <si>
    <t>G16</t>
  </si>
  <si>
    <t>B17</t>
  </si>
  <si>
    <t>C17</t>
  </si>
  <si>
    <t>F17</t>
  </si>
  <si>
    <t>G17</t>
  </si>
  <si>
    <t>B24</t>
  </si>
  <si>
    <t>C24</t>
  </si>
  <si>
    <t>D24</t>
  </si>
  <si>
    <t>E24</t>
  </si>
  <si>
    <t>B25</t>
  </si>
  <si>
    <t>C25</t>
  </si>
  <si>
    <t>D25</t>
  </si>
  <si>
    <t>E25</t>
  </si>
  <si>
    <t>B26</t>
  </si>
  <si>
    <t>C26</t>
  </si>
  <si>
    <t>D26</t>
  </si>
  <si>
    <t>E26</t>
  </si>
  <si>
    <t>B27</t>
  </si>
  <si>
    <t>C27</t>
  </si>
  <si>
    <t>D27</t>
  </si>
  <si>
    <t>E27</t>
  </si>
  <si>
    <t>B28</t>
  </si>
  <si>
    <t>C28</t>
  </si>
  <si>
    <t>D28</t>
  </si>
  <si>
    <t>E28</t>
  </si>
  <si>
    <t>B29</t>
  </si>
  <si>
    <t>C29</t>
  </si>
  <si>
    <t>D29</t>
  </si>
  <si>
    <t>E29</t>
  </si>
  <si>
    <t>B42</t>
  </si>
  <si>
    <t>C42</t>
  </si>
  <si>
    <t>B43</t>
  </si>
  <si>
    <t>C43</t>
  </si>
  <si>
    <t>B44</t>
  </si>
  <si>
    <t>C44</t>
  </si>
  <si>
    <t>B45</t>
  </si>
  <si>
    <t>C45</t>
  </si>
  <si>
    <t>B46</t>
  </si>
  <si>
    <t>C46</t>
  </si>
  <si>
    <t>B47</t>
  </si>
  <si>
    <t>C47</t>
  </si>
  <si>
    <t>Turbinas CS</t>
  </si>
  <si>
    <t>R12</t>
  </si>
  <si>
    <t>C19</t>
  </si>
  <si>
    <t>E19</t>
  </si>
  <si>
    <t>G19</t>
  </si>
  <si>
    <t>I20</t>
  </si>
  <si>
    <t>C23</t>
  </si>
  <si>
    <t>G28</t>
  </si>
  <si>
    <t>I29</t>
  </si>
  <si>
    <t>C32</t>
  </si>
  <si>
    <t>C37</t>
  </si>
  <si>
    <t>E37</t>
  </si>
  <si>
    <t>G37</t>
  </si>
  <si>
    <t>I38</t>
  </si>
  <si>
    <t>C41</t>
  </si>
  <si>
    <t>E46</t>
  </si>
  <si>
    <t>G46</t>
  </si>
  <si>
    <t>I47</t>
  </si>
  <si>
    <t>C50</t>
  </si>
  <si>
    <t>C55</t>
  </si>
  <si>
    <t>E55</t>
  </si>
  <si>
    <t>G55</t>
  </si>
  <si>
    <t>I56</t>
  </si>
  <si>
    <t>C59</t>
  </si>
  <si>
    <t>C64</t>
  </si>
  <si>
    <t>E64</t>
  </si>
  <si>
    <t>G64</t>
  </si>
  <si>
    <t>I65</t>
  </si>
  <si>
    <t>C68</t>
  </si>
  <si>
    <t>C73</t>
  </si>
  <si>
    <t>E73</t>
  </si>
  <si>
    <t>G73</t>
  </si>
  <si>
    <t>I74</t>
  </si>
  <si>
    <t>C77</t>
  </si>
  <si>
    <t>Calculos CS 3 y 4</t>
  </si>
  <si>
    <t>B18</t>
  </si>
  <si>
    <t>D18</t>
  </si>
  <si>
    <t>B19</t>
  </si>
  <si>
    <t>F19</t>
  </si>
  <si>
    <t>B22</t>
  </si>
  <si>
    <t>F28</t>
  </si>
  <si>
    <t>B31</t>
  </si>
  <si>
    <t>B36</t>
  </si>
  <si>
    <t>D36</t>
  </si>
  <si>
    <t>B37</t>
  </si>
  <si>
    <t>F37</t>
  </si>
  <si>
    <t>B40</t>
  </si>
  <si>
    <t>B51</t>
  </si>
  <si>
    <t>D51</t>
  </si>
  <si>
    <t>B52</t>
  </si>
  <si>
    <t>F52</t>
  </si>
  <si>
    <t>B55</t>
  </si>
  <si>
    <t>B62</t>
  </si>
  <si>
    <t>D62</t>
  </si>
  <si>
    <t>B63</t>
  </si>
  <si>
    <t>F63</t>
  </si>
  <si>
    <t>B66</t>
  </si>
  <si>
    <t>B71</t>
  </si>
  <si>
    <t>D71</t>
  </si>
  <si>
    <t>B72</t>
  </si>
  <si>
    <t>F72</t>
  </si>
  <si>
    <t>B75</t>
  </si>
  <si>
    <t>CS 5</t>
  </si>
  <si>
    <t>B4</t>
  </si>
  <si>
    <t>C4</t>
  </si>
  <si>
    <t>W11</t>
  </si>
  <si>
    <t>W12</t>
  </si>
  <si>
    <t>Consumo #6 2022 =</t>
  </si>
  <si>
    <t>Consumo NG 2022 =</t>
  </si>
  <si>
    <t>B20</t>
  </si>
  <si>
    <t>E20</t>
  </si>
  <si>
    <t>H20</t>
  </si>
  <si>
    <t>M20</t>
  </si>
  <si>
    <t>O20</t>
  </si>
  <si>
    <t>R20</t>
  </si>
  <si>
    <t>B23</t>
  </si>
  <si>
    <t>H26</t>
  </si>
  <si>
    <t>M26</t>
  </si>
  <si>
    <t>O26</t>
  </si>
  <si>
    <t>R26</t>
  </si>
  <si>
    <t>B32</t>
  </si>
  <si>
    <t>E32</t>
  </si>
  <si>
    <t>H32</t>
  </si>
  <si>
    <t>M32</t>
  </si>
  <si>
    <t>O32</t>
  </si>
  <si>
    <t>R32</t>
  </si>
  <si>
    <t>B35</t>
  </si>
  <si>
    <t>B38</t>
  </si>
  <si>
    <t>E38</t>
  </si>
  <si>
    <t>H38</t>
  </si>
  <si>
    <t>M38</t>
  </si>
  <si>
    <t>O38</t>
  </si>
  <si>
    <t>R38</t>
  </si>
  <si>
    <t>B41</t>
  </si>
  <si>
    <t>E44</t>
  </si>
  <si>
    <t>H44</t>
  </si>
  <si>
    <t>M44</t>
  </si>
  <si>
    <t>O44</t>
  </si>
  <si>
    <t>R44</t>
  </si>
  <si>
    <t>B50</t>
  </si>
  <si>
    <t>E50</t>
  </si>
  <si>
    <t>H50</t>
  </si>
  <si>
    <t>M50</t>
  </si>
  <si>
    <t>O50</t>
  </si>
  <si>
    <t>R50</t>
  </si>
  <si>
    <t>B53</t>
  </si>
  <si>
    <t>B56</t>
  </si>
  <si>
    <t>H56</t>
  </si>
  <si>
    <t>M56</t>
  </si>
  <si>
    <t>O56</t>
  </si>
  <si>
    <t>R56</t>
  </si>
  <si>
    <t>H57</t>
  </si>
  <si>
    <t>B59</t>
  </si>
  <si>
    <t>E62</t>
  </si>
  <si>
    <t>H62</t>
  </si>
  <si>
    <t>M62</t>
  </si>
  <si>
    <t>O62</t>
  </si>
  <si>
    <t>R62</t>
  </si>
  <si>
    <t>B65</t>
  </si>
  <si>
    <t>B68</t>
  </si>
  <si>
    <t>E68</t>
  </si>
  <si>
    <t>H68</t>
  </si>
  <si>
    <t>M68</t>
  </si>
  <si>
    <t>O68</t>
  </si>
  <si>
    <t>R68</t>
  </si>
  <si>
    <t>B74</t>
  </si>
  <si>
    <t>E74</t>
  </si>
  <si>
    <t>M74</t>
  </si>
  <si>
    <t>O74</t>
  </si>
  <si>
    <t>H75</t>
  </si>
  <si>
    <t>B77</t>
  </si>
  <si>
    <t>Tabla JCA CS</t>
  </si>
  <si>
    <t>D13</t>
  </si>
  <si>
    <t>D14</t>
  </si>
  <si>
    <t>D15</t>
  </si>
  <si>
    <t>D16</t>
  </si>
  <si>
    <t>D17</t>
  </si>
  <si>
    <t>D19</t>
  </si>
  <si>
    <t>CO i</t>
  </si>
  <si>
    <t>D20</t>
  </si>
  <si>
    <t>D21</t>
  </si>
  <si>
    <t>D23</t>
  </si>
  <si>
    <t>CO2eiii</t>
  </si>
  <si>
    <t>J5</t>
  </si>
  <si>
    <t>K5</t>
  </si>
  <si>
    <t>vacío en origen</t>
  </si>
  <si>
    <t>L5</t>
  </si>
  <si>
    <t>M5</t>
  </si>
  <si>
    <t>J6</t>
  </si>
  <si>
    <t>K6</t>
  </si>
  <si>
    <t>2023-03-01 00:00:00</t>
  </si>
  <si>
    <t>J7</t>
  </si>
  <si>
    <t>K7</t>
  </si>
  <si>
    <t>J8</t>
  </si>
  <si>
    <t>K8</t>
  </si>
  <si>
    <t>L8</t>
  </si>
  <si>
    <t>M8</t>
  </si>
  <si>
    <t>J9</t>
  </si>
  <si>
    <t>K9</t>
  </si>
  <si>
    <t>L9</t>
  </si>
  <si>
    <t>M9</t>
  </si>
  <si>
    <t>J10</t>
  </si>
  <si>
    <t>K10</t>
  </si>
  <si>
    <t>L10</t>
  </si>
  <si>
    <t>M10</t>
  </si>
  <si>
    <t>E23</t>
  </si>
  <si>
    <t>N23</t>
  </si>
  <si>
    <t>O23</t>
  </si>
  <si>
    <t>F24</t>
  </si>
  <si>
    <t>G24</t>
  </si>
  <si>
    <t>N24</t>
  </si>
  <si>
    <t>O24</t>
  </si>
  <si>
    <t>F25</t>
  </si>
  <si>
    <t>G25</t>
  </si>
  <si>
    <t>N25</t>
  </si>
  <si>
    <t>O25</t>
  </si>
  <si>
    <t>F26</t>
  </si>
  <si>
    <t>G26</t>
  </si>
  <si>
    <t>N26</t>
  </si>
  <si>
    <t>F27</t>
  </si>
  <si>
    <t>G27</t>
  </si>
  <si>
    <t>N27</t>
  </si>
  <si>
    <t>O27</t>
  </si>
  <si>
    <t>N28</t>
  </si>
  <si>
    <t>O28</t>
  </si>
  <si>
    <t>Cálculos SJ</t>
  </si>
  <si>
    <t>R14</t>
  </si>
  <si>
    <t>dato/fórmula</t>
  </si>
  <si>
    <t>H23</t>
  </si>
  <si>
    <t>D31</t>
  </si>
  <si>
    <t>H31</t>
  </si>
  <si>
    <t>F32</t>
  </si>
  <si>
    <t>B34</t>
  </si>
  <si>
    <t>D40</t>
  </si>
  <si>
    <t>H40</t>
  </si>
  <si>
    <t>F41</t>
  </si>
  <si>
    <t>B48</t>
  </si>
  <si>
    <t>D48</t>
  </si>
  <si>
    <t>B49</t>
  </si>
  <si>
    <t>F49</t>
  </si>
  <si>
    <t>B57</t>
  </si>
  <si>
    <t>D57</t>
  </si>
  <si>
    <t>B58</t>
  </si>
  <si>
    <t>F58</t>
  </si>
  <si>
    <t>B60</t>
  </si>
  <si>
    <t>D65</t>
  </si>
  <si>
    <t>F66</t>
  </si>
  <si>
    <t>B73</t>
  </si>
  <si>
    <t>D73</t>
  </si>
  <si>
    <t>F74</t>
  </si>
  <si>
    <t>B76</t>
  </si>
  <si>
    <t>B81</t>
  </si>
  <si>
    <t>D81</t>
  </si>
  <si>
    <t>B82</t>
  </si>
  <si>
    <t>F82</t>
  </si>
  <si>
    <t>B84</t>
  </si>
  <si>
    <t>B89</t>
  </si>
  <si>
    <t>D89</t>
  </si>
  <si>
    <t>B90</t>
  </si>
  <si>
    <t>F90</t>
  </si>
  <si>
    <t>B92</t>
  </si>
  <si>
    <t>B98</t>
  </si>
  <si>
    <t>D98</t>
  </si>
  <si>
    <t>F99</t>
  </si>
  <si>
    <t>B101</t>
  </si>
  <si>
    <t>Cálculos SJ5</t>
  </si>
  <si>
    <t>D11</t>
  </si>
  <si>
    <t>Consumo #2 2022 =</t>
  </si>
  <si>
    <t>E56</t>
  </si>
  <si>
    <t>Cálculos SJ6</t>
  </si>
  <si>
    <t>Tabla JCA SJ</t>
  </si>
  <si>
    <t>COi</t>
  </si>
  <si>
    <t>Pbii</t>
  </si>
  <si>
    <t>F23</t>
  </si>
  <si>
    <t>I23</t>
  </si>
  <si>
    <t>J23</t>
  </si>
  <si>
    <t>K23</t>
  </si>
  <si>
    <t>L23</t>
  </si>
  <si>
    <t>M23</t>
  </si>
  <si>
    <t>P23</t>
  </si>
  <si>
    <t>Q23</t>
  </si>
  <si>
    <t>R23</t>
  </si>
  <si>
    <t>H24</t>
  </si>
  <si>
    <t>I24</t>
  </si>
  <si>
    <t>J24</t>
  </si>
  <si>
    <t>K24</t>
  </si>
  <si>
    <t>L24</t>
  </si>
  <si>
    <t>M24</t>
  </si>
  <si>
    <t>P24</t>
  </si>
  <si>
    <t>Q24</t>
  </si>
  <si>
    <t>R24</t>
  </si>
  <si>
    <t>H25</t>
  </si>
  <si>
    <t>I25</t>
  </si>
  <si>
    <t>J25</t>
  </si>
  <si>
    <t>K25</t>
  </si>
  <si>
    <t>L25</t>
  </si>
  <si>
    <t>M25</t>
  </si>
  <si>
    <t>P25</t>
  </si>
  <si>
    <t>Q25</t>
  </si>
  <si>
    <t>R25</t>
  </si>
  <si>
    <t>I26</t>
  </si>
  <si>
    <t>J26</t>
  </si>
  <si>
    <t>K26</t>
  </si>
  <si>
    <t>L26</t>
  </si>
  <si>
    <t>P26</t>
  </si>
  <si>
    <t>Q26</t>
  </si>
  <si>
    <t>H27</t>
  </si>
  <si>
    <t>I27</t>
  </si>
  <si>
    <t>J27</t>
  </si>
  <si>
    <t>K27</t>
  </si>
  <si>
    <t>L27</t>
  </si>
  <si>
    <t>M27</t>
  </si>
  <si>
    <t>P27</t>
  </si>
  <si>
    <t>Q27</t>
  </si>
  <si>
    <t>R27</t>
  </si>
  <si>
    <t>H28</t>
  </si>
  <si>
    <t>I28</t>
  </si>
  <si>
    <t>J28</t>
  </si>
  <si>
    <t>K28</t>
  </si>
  <si>
    <t>L28</t>
  </si>
  <si>
    <t>M28</t>
  </si>
  <si>
    <t>P28</t>
  </si>
  <si>
    <t>Q28</t>
  </si>
  <si>
    <t>R28</t>
  </si>
  <si>
    <t>D41</t>
  </si>
  <si>
    <t>E41</t>
  </si>
  <si>
    <t>D42</t>
  </si>
  <si>
    <t>E42</t>
  </si>
  <si>
    <t>D43</t>
  </si>
  <si>
    <t>E43</t>
  </si>
  <si>
    <t>D44</t>
  </si>
  <si>
    <t>D45</t>
  </si>
  <si>
    <t>E45</t>
  </si>
  <si>
    <t>D46</t>
  </si>
  <si>
    <t>Cálculos AG</t>
  </si>
  <si>
    <t>K12</t>
  </si>
  <si>
    <t>V12</t>
  </si>
  <si>
    <t>K13</t>
  </si>
  <si>
    <t>V13</t>
  </si>
  <si>
    <t>K18</t>
  </si>
  <si>
    <t>M18</t>
  </si>
  <si>
    <t>O18</t>
  </si>
  <si>
    <t>Q19</t>
  </si>
  <si>
    <t>K22</t>
  </si>
  <si>
    <t>F29</t>
  </si>
  <si>
    <t>Q29</t>
  </si>
  <si>
    <t>K32</t>
  </si>
  <si>
    <t>D38</t>
  </si>
  <si>
    <t>K38</t>
  </si>
  <si>
    <t>Q39</t>
  </si>
  <si>
    <t>K42</t>
  </si>
  <si>
    <t>K48</t>
  </si>
  <si>
    <t>M48</t>
  </si>
  <si>
    <t>O48</t>
  </si>
  <si>
    <t>Q49</t>
  </si>
  <si>
    <t>K52</t>
  </si>
  <si>
    <t>D58</t>
  </si>
  <si>
    <t>K58</t>
  </si>
  <si>
    <t>M58</t>
  </si>
  <si>
    <t>O58</t>
  </si>
  <si>
    <t>F59</t>
  </si>
  <si>
    <t>Q59</t>
  </si>
  <si>
    <t>K62</t>
  </si>
  <si>
    <t>D68</t>
  </si>
  <si>
    <t>K68</t>
  </si>
  <si>
    <t>B69</t>
  </si>
  <si>
    <t>F69</t>
  </si>
  <si>
    <t>Q69</t>
  </si>
  <si>
    <t>K72</t>
  </si>
  <si>
    <t>B78</t>
  </si>
  <si>
    <t>D78</t>
  </si>
  <si>
    <t>K78</t>
  </si>
  <si>
    <t>M78</t>
  </si>
  <si>
    <t>F79</t>
  </si>
  <si>
    <t>O79</t>
  </si>
  <si>
    <t>K82</t>
  </si>
  <si>
    <t>Tabla JCA AG</t>
  </si>
  <si>
    <t>COV</t>
  </si>
  <si>
    <t>Plomo Pb</t>
  </si>
  <si>
    <t>CO2eii</t>
  </si>
  <si>
    <t>G23</t>
  </si>
  <si>
    <t>F42</t>
  </si>
  <si>
    <t>G42</t>
  </si>
  <si>
    <t>H42</t>
  </si>
  <si>
    <t>I42</t>
  </si>
  <si>
    <t>F43</t>
  </si>
  <si>
    <t>G43</t>
  </si>
  <si>
    <t>H43</t>
  </si>
  <si>
    <t>I43</t>
  </si>
  <si>
    <t>F44</t>
  </si>
  <si>
    <t>G44</t>
  </si>
  <si>
    <t>I44</t>
  </si>
  <si>
    <t>F45</t>
  </si>
  <si>
    <t>G45</t>
  </si>
  <si>
    <t>H45</t>
  </si>
  <si>
    <t>I45</t>
  </si>
  <si>
    <t>F46</t>
  </si>
  <si>
    <t>H46</t>
  </si>
  <si>
    <t>I46</t>
  </si>
  <si>
    <t>D47</t>
  </si>
  <si>
    <t>E47</t>
  </si>
  <si>
    <t>F47</t>
  </si>
  <si>
    <t>G47</t>
  </si>
  <si>
    <t>H47</t>
  </si>
  <si>
    <t>Cálculos PS</t>
  </si>
  <si>
    <t>J12</t>
  </si>
  <si>
    <t>J13</t>
  </si>
  <si>
    <t>V14</t>
  </si>
  <si>
    <t>J18</t>
  </si>
  <si>
    <t>L18</t>
  </si>
  <si>
    <t>N18</t>
  </si>
  <si>
    <t>P19</t>
  </si>
  <si>
    <t>J22</t>
  </si>
  <si>
    <t>P29</t>
  </si>
  <si>
    <t>J32</t>
  </si>
  <si>
    <t>J38</t>
  </si>
  <si>
    <t>L38</t>
  </si>
  <si>
    <t>N38</t>
  </si>
  <si>
    <t>P39</t>
  </si>
  <si>
    <t>J42</t>
  </si>
  <si>
    <t>J48</t>
  </si>
  <si>
    <t>L48</t>
  </si>
  <si>
    <t>N48</t>
  </si>
  <si>
    <t>P49</t>
  </si>
  <si>
    <t>J52</t>
  </si>
  <si>
    <t>J58</t>
  </si>
  <si>
    <t>L58</t>
  </si>
  <si>
    <t>N58</t>
  </si>
  <si>
    <t>P59</t>
  </si>
  <si>
    <t>J62</t>
  </si>
  <si>
    <t>J68</t>
  </si>
  <si>
    <t>L68</t>
  </si>
  <si>
    <t>N68</t>
  </si>
  <si>
    <t>P69</t>
  </si>
  <si>
    <t>J72</t>
  </si>
  <si>
    <t>MPs PS</t>
  </si>
  <si>
    <t>D4</t>
  </si>
  <si>
    <t>D12</t>
  </si>
  <si>
    <t>H74</t>
  </si>
  <si>
    <t>R74</t>
  </si>
  <si>
    <t>Tabla JCA PS</t>
  </si>
  <si>
    <t>Plomo (Pb)</t>
  </si>
  <si>
    <t>Turbinas</t>
  </si>
  <si>
    <t>AA5</t>
  </si>
  <si>
    <t>AB5</t>
  </si>
  <si>
    <t>AC5</t>
  </si>
  <si>
    <t>AD5</t>
  </si>
  <si>
    <t>AE5</t>
  </si>
  <si>
    <t>AF5</t>
  </si>
  <si>
    <t>U5</t>
  </si>
  <si>
    <t>V5</t>
  </si>
  <si>
    <t>W5</t>
  </si>
  <si>
    <t>X5</t>
  </si>
  <si>
    <t>Y5</t>
  </si>
  <si>
    <t>Z5</t>
  </si>
  <si>
    <t>AA6</t>
  </si>
  <si>
    <t>AB6</t>
  </si>
  <si>
    <t>AC6</t>
  </si>
  <si>
    <t>AD6</t>
  </si>
  <si>
    <t>AE6</t>
  </si>
  <si>
    <t>AF6</t>
  </si>
  <si>
    <t>N6</t>
  </si>
  <si>
    <t>O6</t>
  </si>
  <si>
    <t>U6</t>
  </si>
  <si>
    <t>V6</t>
  </si>
  <si>
    <t>W6</t>
  </si>
  <si>
    <t>X6</t>
  </si>
  <si>
    <t>Y6</t>
  </si>
  <si>
    <t>Z6</t>
  </si>
  <si>
    <t>AA7</t>
  </si>
  <si>
    <t>AB7</t>
  </si>
  <si>
    <t>AC7</t>
  </si>
  <si>
    <t>AD7</t>
  </si>
  <si>
    <t>AE7</t>
  </si>
  <si>
    <t>AF7</t>
  </si>
  <si>
    <t>N7</t>
  </si>
  <si>
    <t>O7</t>
  </si>
  <si>
    <t>U7</t>
  </si>
  <si>
    <t>V7</t>
  </si>
  <si>
    <t>W7</t>
  </si>
  <si>
    <t>X7</t>
  </si>
  <si>
    <t>Y7</t>
  </si>
  <si>
    <t>Z7</t>
  </si>
  <si>
    <t>AA8</t>
  </si>
  <si>
    <t>AB8</t>
  </si>
  <si>
    <t>AC8</t>
  </si>
  <si>
    <t>AD8</t>
  </si>
  <si>
    <t>AE8</t>
  </si>
  <si>
    <t>AF8</t>
  </si>
  <si>
    <t>N8</t>
  </si>
  <si>
    <t>O8</t>
  </si>
  <si>
    <t>U8</t>
  </si>
  <si>
    <t>V8</t>
  </si>
  <si>
    <t>W8</t>
  </si>
  <si>
    <t>X8</t>
  </si>
  <si>
    <t>Y8</t>
  </si>
  <si>
    <t>Z8</t>
  </si>
  <si>
    <t>AA9</t>
  </si>
  <si>
    <t>2022-04-01 00:00:00</t>
  </si>
  <si>
    <t>AB9</t>
  </si>
  <si>
    <t>AC9</t>
  </si>
  <si>
    <t>AD9</t>
  </si>
  <si>
    <t>AE9</t>
  </si>
  <si>
    <t>AF9</t>
  </si>
  <si>
    <t>N9</t>
  </si>
  <si>
    <t>O9</t>
  </si>
  <si>
    <t>U9</t>
  </si>
  <si>
    <t>V9</t>
  </si>
  <si>
    <t>W9</t>
  </si>
  <si>
    <t>X9</t>
  </si>
  <si>
    <t>Y9</t>
  </si>
  <si>
    <t>Z9</t>
  </si>
  <si>
    <t>AA10</t>
  </si>
  <si>
    <t>2023-05-01 00:00:00</t>
  </si>
  <si>
    <t>AB10</t>
  </si>
  <si>
    <t>AC10</t>
  </si>
  <si>
    <t>AD10</t>
  </si>
  <si>
    <t>AE10</t>
  </si>
  <si>
    <t>AF10</t>
  </si>
  <si>
    <t>N10</t>
  </si>
  <si>
    <t>O10</t>
  </si>
  <si>
    <t>U10</t>
  </si>
  <si>
    <t>V10</t>
  </si>
  <si>
    <t>W10</t>
  </si>
  <si>
    <t>X10</t>
  </si>
  <si>
    <t>Y10</t>
  </si>
  <si>
    <t>Z10</t>
  </si>
  <si>
    <t>AA11</t>
  </si>
  <si>
    <t>2022-06-01 00:00:00</t>
  </si>
  <si>
    <t>AB11</t>
  </si>
  <si>
    <t>AC11</t>
  </si>
  <si>
    <t>AD11</t>
  </si>
  <si>
    <t>AE11</t>
  </si>
  <si>
    <t>AF11</t>
  </si>
  <si>
    <t>J11</t>
  </si>
  <si>
    <t>K11</t>
  </si>
  <si>
    <t>N11</t>
  </si>
  <si>
    <t>O11</t>
  </si>
  <si>
    <t>U11</t>
  </si>
  <si>
    <t>V11</t>
  </si>
  <si>
    <t>X11</t>
  </si>
  <si>
    <t>Y11</t>
  </si>
  <si>
    <t>Z11</t>
  </si>
  <si>
    <t>AA12</t>
  </si>
  <si>
    <t>2023-07-01 00:00:00</t>
  </si>
  <si>
    <t>AB12</t>
  </si>
  <si>
    <t>AC12</t>
  </si>
  <si>
    <t>AD12</t>
  </si>
  <si>
    <t>AE12</t>
  </si>
  <si>
    <t>AF12</t>
  </si>
  <si>
    <t>U12</t>
  </si>
  <si>
    <t>X12</t>
  </si>
  <si>
    <t>Y12</t>
  </si>
  <si>
    <t>Z12</t>
  </si>
  <si>
    <t>AA13</t>
  </si>
  <si>
    <t>2023-08-01 00:00:00</t>
  </si>
  <si>
    <t>AB13</t>
  </si>
  <si>
    <t>AC13</t>
  </si>
  <si>
    <t>AD13</t>
  </si>
  <si>
    <t>AE13</t>
  </si>
  <si>
    <t>AF13</t>
  </si>
  <si>
    <t>U13</t>
  </si>
  <si>
    <t>W13</t>
  </si>
  <si>
    <t>X13</t>
  </si>
  <si>
    <t>Y13</t>
  </si>
  <si>
    <t>Z13</t>
  </si>
  <si>
    <t>AA14</t>
  </si>
  <si>
    <t>2023-09-01 00:00:00</t>
  </si>
  <si>
    <t>AB14</t>
  </si>
  <si>
    <t>AC14</t>
  </si>
  <si>
    <t>AD14</t>
  </si>
  <si>
    <t>AE14</t>
  </si>
  <si>
    <t>AF14</t>
  </si>
  <si>
    <t>U14</t>
  </si>
  <si>
    <t>W14</t>
  </si>
  <si>
    <t>X14</t>
  </si>
  <si>
    <t>Y14</t>
  </si>
  <si>
    <t>Z14</t>
  </si>
  <si>
    <t>AA15</t>
  </si>
  <si>
    <t>2023-10-01 00:00:00</t>
  </si>
  <si>
    <t>AB15</t>
  </si>
  <si>
    <t>AC15</t>
  </si>
  <si>
    <t>AD15</t>
  </si>
  <si>
    <t>AE15</t>
  </si>
  <si>
    <t>AF15</t>
  </si>
  <si>
    <t>U15</t>
  </si>
  <si>
    <t>V15</t>
  </si>
  <si>
    <t>W15</t>
  </si>
  <si>
    <t>X15</t>
  </si>
  <si>
    <t>Y15</t>
  </si>
  <si>
    <t>Z15</t>
  </si>
  <si>
    <t>AA16</t>
  </si>
  <si>
    <t>2023-11-01 00:00:00</t>
  </si>
  <si>
    <t>AB16</t>
  </si>
  <si>
    <t>AC16</t>
  </si>
  <si>
    <t>AD16</t>
  </si>
  <si>
    <t>AE16</t>
  </si>
  <si>
    <t>AF16</t>
  </si>
  <si>
    <t>U16</t>
  </si>
  <si>
    <t>V16</t>
  </si>
  <si>
    <t>W16</t>
  </si>
  <si>
    <t>X16</t>
  </si>
  <si>
    <t>Y16</t>
  </si>
  <si>
    <t>Z16</t>
  </si>
  <si>
    <t>AA17</t>
  </si>
  <si>
    <t>2023-12-01 00:00:00</t>
  </si>
  <si>
    <t>AB17</t>
  </si>
  <si>
    <t>AC17</t>
  </si>
  <si>
    <t>AD17</t>
  </si>
  <si>
    <t>AE17</t>
  </si>
  <si>
    <t>AF17</t>
  </si>
  <si>
    <t>U17</t>
  </si>
  <si>
    <t>V17</t>
  </si>
  <si>
    <t>W17</t>
  </si>
  <si>
    <t>X17</t>
  </si>
  <si>
    <t>Y17</t>
  </si>
  <si>
    <t>Z17</t>
  </si>
  <si>
    <t>2023-01-01 00:00:00</t>
  </si>
  <si>
    <t>2023-02-01 00:00:00</t>
  </si>
  <si>
    <t>2023-04-01 00:00:00</t>
  </si>
  <si>
    <t>J29</t>
  </si>
  <si>
    <t>I30</t>
  </si>
  <si>
    <t>J30</t>
  </si>
  <si>
    <t>I31</t>
  </si>
  <si>
    <t>J31</t>
  </si>
  <si>
    <t>I32</t>
  </si>
  <si>
    <t>I33</t>
  </si>
  <si>
    <t>J33</t>
  </si>
  <si>
    <t>I34</t>
  </si>
  <si>
    <t>J34</t>
  </si>
  <si>
    <t>I35</t>
  </si>
  <si>
    <t>J35</t>
  </si>
  <si>
    <t>I36</t>
  </si>
  <si>
    <t>J36</t>
  </si>
  <si>
    <t>I37</t>
  </si>
  <si>
    <t>J37</t>
  </si>
  <si>
    <t>Cálculos Cambalache (60%)</t>
  </si>
  <si>
    <t>AC4</t>
  </si>
  <si>
    <t>AD4</t>
  </si>
  <si>
    <t>M13</t>
  </si>
  <si>
    <t>M15</t>
  </si>
  <si>
    <t>M16</t>
  </si>
  <si>
    <t>B21</t>
  </si>
  <si>
    <t>F21</t>
  </si>
  <si>
    <t>H21</t>
  </si>
  <si>
    <t>M21</t>
  </si>
  <si>
    <t>O21</t>
  </si>
  <si>
    <t>Q21</t>
  </si>
  <si>
    <t>S21</t>
  </si>
  <si>
    <t>AC22</t>
  </si>
  <si>
    <t>AD22</t>
  </si>
  <si>
    <t>U22</t>
  </si>
  <si>
    <t>AC23</t>
  </si>
  <si>
    <t>AD23</t>
  </si>
  <si>
    <t>AC24</t>
  </si>
  <si>
    <t>AD24</t>
  </si>
  <si>
    <t>AC25</t>
  </si>
  <si>
    <t>AD25</t>
  </si>
  <si>
    <t>AC26</t>
  </si>
  <si>
    <t>AD26</t>
  </si>
  <si>
    <t>AC27</t>
  </si>
  <si>
    <t>AD27</t>
  </si>
  <si>
    <t>AC28</t>
  </si>
  <si>
    <t>AD28</t>
  </si>
  <si>
    <t>AC29</t>
  </si>
  <si>
    <t>AD29</t>
  </si>
  <si>
    <t>H29</t>
  </si>
  <si>
    <t>M29</t>
  </si>
  <si>
    <t>O29</t>
  </si>
  <si>
    <t>S29</t>
  </si>
  <si>
    <t>AC30</t>
  </si>
  <si>
    <t>AD30</t>
  </si>
  <si>
    <t>U30</t>
  </si>
  <si>
    <t>AC31</t>
  </si>
  <si>
    <t>AD31</t>
  </si>
  <si>
    <t>AC32</t>
  </si>
  <si>
    <t>AD32</t>
  </si>
  <si>
    <t>AC33</t>
  </si>
  <si>
    <t>AD33</t>
  </si>
  <si>
    <t>AC34</t>
  </si>
  <si>
    <t>AD34</t>
  </si>
  <si>
    <t>M42</t>
  </si>
  <si>
    <t>O42</t>
  </si>
  <si>
    <t>Q42</t>
  </si>
  <si>
    <t>S42</t>
  </si>
  <si>
    <t>J43</t>
  </si>
  <si>
    <t>U43</t>
  </si>
  <si>
    <t>M45</t>
  </si>
  <si>
    <t>D50</t>
  </si>
  <si>
    <t>F50</t>
  </si>
  <si>
    <t>Q50</t>
  </si>
  <si>
    <t>S50</t>
  </si>
  <si>
    <t>J51</t>
  </si>
  <si>
    <t>U51</t>
  </si>
  <si>
    <t>M53</t>
  </si>
  <si>
    <t>B61</t>
  </si>
  <si>
    <t>D61</t>
  </si>
  <si>
    <t>F62</t>
  </si>
  <si>
    <t>B85</t>
  </si>
  <si>
    <t>CEMS Cambalache</t>
  </si>
  <si>
    <t>P6</t>
  </si>
  <si>
    <t>P7</t>
  </si>
  <si>
    <t>P8</t>
  </si>
  <si>
    <t>P9</t>
  </si>
  <si>
    <t>P10</t>
  </si>
  <si>
    <t>L11</t>
  </si>
  <si>
    <t>M11</t>
  </si>
  <si>
    <t>P11</t>
  </si>
  <si>
    <t>L12</t>
  </si>
  <si>
    <t>M12</t>
  </si>
  <si>
    <t>N12</t>
  </si>
  <si>
    <t>O12</t>
  </si>
  <si>
    <t>P12</t>
  </si>
  <si>
    <t>L13</t>
  </si>
  <si>
    <t>N13</t>
  </si>
  <si>
    <t>O13</t>
  </si>
  <si>
    <t>P13</t>
  </si>
  <si>
    <t>K14</t>
  </si>
  <si>
    <t>L14</t>
  </si>
  <si>
    <t>M14</t>
  </si>
  <si>
    <t>N14</t>
  </si>
  <si>
    <t>O14</t>
  </si>
  <si>
    <t>P14</t>
  </si>
  <si>
    <t>K15</t>
  </si>
  <si>
    <t>L15</t>
  </si>
  <si>
    <t>N15</t>
  </si>
  <si>
    <t>O15</t>
  </si>
  <si>
    <t>P15</t>
  </si>
  <si>
    <t>K16</t>
  </si>
  <si>
    <t>L16</t>
  </si>
  <si>
    <t>N16</t>
  </si>
  <si>
    <t>O16</t>
  </si>
  <si>
    <t>P16</t>
  </si>
  <si>
    <t>K17</t>
  </si>
  <si>
    <t>L17</t>
  </si>
  <si>
    <t>M17</t>
  </si>
  <si>
    <t>N17</t>
  </si>
  <si>
    <t>O17</t>
  </si>
  <si>
    <t>P17</t>
  </si>
  <si>
    <t>C18</t>
  </si>
  <si>
    <t>Tabla JCA Cambalache</t>
  </si>
  <si>
    <t>PM10 (iii)</t>
  </si>
  <si>
    <t>NOx (ii) (iii)</t>
  </si>
  <si>
    <t>CO (i) (ii) (iii)</t>
  </si>
  <si>
    <t>CO2eiv</t>
  </si>
  <si>
    <t>Cálculos Daguao</t>
  </si>
  <si>
    <t>L19</t>
  </si>
  <si>
    <t>N19</t>
  </si>
  <si>
    <t>L22</t>
  </si>
  <si>
    <t>R29</t>
  </si>
  <si>
    <t>L31</t>
  </si>
  <si>
    <t>D37</t>
  </si>
  <si>
    <t>L37</t>
  </si>
  <si>
    <t>N37</t>
  </si>
  <si>
    <t>P37</t>
  </si>
  <si>
    <t>L40</t>
  </si>
  <si>
    <t>L46</t>
  </si>
  <si>
    <t>N46</t>
  </si>
  <si>
    <t>P46</t>
  </si>
  <si>
    <t>R47</t>
  </si>
  <si>
    <t>L49</t>
  </si>
  <si>
    <t>D59</t>
  </si>
  <si>
    <t>L59</t>
  </si>
  <si>
    <t>N59</t>
  </si>
  <si>
    <t>H60</t>
  </si>
  <si>
    <t>R60</t>
  </si>
  <si>
    <t>L62</t>
  </si>
  <si>
    <t>F68</t>
  </si>
  <si>
    <t>P68</t>
  </si>
  <si>
    <t>H69</t>
  </si>
  <si>
    <t>R69</t>
  </si>
  <si>
    <t>L71</t>
  </si>
  <si>
    <t>D77</t>
  </si>
  <si>
    <t>L77</t>
  </si>
  <si>
    <t>N77</t>
  </si>
  <si>
    <t>F78</t>
  </si>
  <si>
    <t>P78</t>
  </si>
  <si>
    <t>L81</t>
  </si>
  <si>
    <t>Tabla JCA Daguao</t>
  </si>
  <si>
    <t>Pb ii</t>
  </si>
  <si>
    <t>Cálculos Yabucoa</t>
  </si>
  <si>
    <t>F18</t>
  </si>
  <si>
    <t>P18</t>
  </si>
  <si>
    <t>H19</t>
  </si>
  <si>
    <t>R19</t>
  </si>
  <si>
    <t>L21</t>
  </si>
  <si>
    <t>L29</t>
  </si>
  <si>
    <t>D35</t>
  </si>
  <si>
    <t>F35</t>
  </si>
  <si>
    <t>L35</t>
  </si>
  <si>
    <t>N35</t>
  </si>
  <si>
    <t>P35</t>
  </si>
  <si>
    <t>H36</t>
  </si>
  <si>
    <t>R36</t>
  </si>
  <si>
    <t>L43</t>
  </si>
  <si>
    <t>N43</t>
  </si>
  <si>
    <t>P43</t>
  </si>
  <si>
    <t>F51</t>
  </si>
  <si>
    <t>L51</t>
  </si>
  <si>
    <t>N51</t>
  </si>
  <si>
    <t>P51</t>
  </si>
  <si>
    <t>H52</t>
  </si>
  <si>
    <t>R52</t>
  </si>
  <si>
    <t>B54</t>
  </si>
  <si>
    <t>L54</t>
  </si>
  <si>
    <t>L72</t>
  </si>
  <si>
    <t>Tabla JCA Yabucoa</t>
  </si>
  <si>
    <t>Cálculos Vega Baja</t>
  </si>
  <si>
    <t>N29</t>
  </si>
  <si>
    <t>H30</t>
  </si>
  <si>
    <t>R30</t>
  </si>
  <si>
    <t>B33</t>
  </si>
  <si>
    <t>L33</t>
  </si>
  <si>
    <t>B39</t>
  </si>
  <si>
    <t>D39</t>
  </si>
  <si>
    <t>F39</t>
  </si>
  <si>
    <t>L39</t>
  </si>
  <si>
    <t>N39</t>
  </si>
  <si>
    <t>R40</t>
  </si>
  <si>
    <t>D49</t>
  </si>
  <si>
    <t>N49</t>
  </si>
  <si>
    <t>L53</t>
  </si>
  <si>
    <t>L63</t>
  </si>
  <si>
    <t>D69</t>
  </si>
  <si>
    <t>L69</t>
  </si>
  <si>
    <t>N69</t>
  </si>
  <si>
    <t>H70</t>
  </si>
  <si>
    <t>R70</t>
  </si>
  <si>
    <t>L73</t>
  </si>
  <si>
    <t>B79</t>
  </si>
  <si>
    <t>D79</t>
  </si>
  <si>
    <t>L79</t>
  </si>
  <si>
    <t>N79</t>
  </si>
  <si>
    <t>F80</t>
  </si>
  <si>
    <t>P80</t>
  </si>
  <si>
    <t>B83</t>
  </si>
  <si>
    <t>L83</t>
  </si>
  <si>
    <t>Tabla JCA Vega Baja</t>
  </si>
  <si>
    <t>Cálculos Jobos</t>
  </si>
  <si>
    <t>Tabla JCA Jobos</t>
  </si>
  <si>
    <t>Cálculos Mayagüez</t>
  </si>
  <si>
    <t>AO13</t>
  </si>
  <si>
    <t>AF18</t>
  </si>
  <si>
    <t>AH18</t>
  </si>
  <si>
    <t>AJ18</t>
  </si>
  <si>
    <t>V18</t>
  </si>
  <si>
    <t>X18</t>
  </si>
  <si>
    <t>Z18</t>
  </si>
  <si>
    <t>AB19</t>
  </si>
  <si>
    <t>AL19</t>
  </si>
  <si>
    <t>AF21</t>
  </si>
  <si>
    <t>V21</t>
  </si>
  <si>
    <t>AF26</t>
  </si>
  <si>
    <t>AH26</t>
  </si>
  <si>
    <t>AJ26</t>
  </si>
  <si>
    <t>V26</t>
  </si>
  <si>
    <t>X26</t>
  </si>
  <si>
    <t>Z26</t>
  </si>
  <si>
    <t>AB27</t>
  </si>
  <si>
    <t>AL27</t>
  </si>
  <si>
    <t>AF29</t>
  </si>
  <si>
    <t>V29</t>
  </si>
  <si>
    <t>AF34</t>
  </si>
  <si>
    <t>AH34</t>
  </si>
  <si>
    <t>AJ34</t>
  </si>
  <si>
    <t>D34</t>
  </si>
  <si>
    <t>F34</t>
  </si>
  <si>
    <t>L34</t>
  </si>
  <si>
    <t>N34</t>
  </si>
  <si>
    <t>P34</t>
  </si>
  <si>
    <t>V34</t>
  </si>
  <si>
    <t>X34</t>
  </si>
  <si>
    <t>Z34</t>
  </si>
  <si>
    <t>AB35</t>
  </si>
  <si>
    <t>AL35</t>
  </si>
  <si>
    <t>H35</t>
  </si>
  <si>
    <t>R35</t>
  </si>
  <si>
    <t>AF37</t>
  </si>
  <si>
    <t>V37</t>
  </si>
  <si>
    <t>AF42</t>
  </si>
  <si>
    <t>AH42</t>
  </si>
  <si>
    <t>AJ42</t>
  </si>
  <si>
    <t>L42</t>
  </si>
  <si>
    <t>N42</t>
  </si>
  <si>
    <t>P42</t>
  </si>
  <si>
    <t>V42</t>
  </si>
  <si>
    <t>X42</t>
  </si>
  <si>
    <t>Z42</t>
  </si>
  <si>
    <t>AB43</t>
  </si>
  <si>
    <t>AL43</t>
  </si>
  <si>
    <t>R43</t>
  </si>
  <si>
    <t>AF45</t>
  </si>
  <si>
    <t>L45</t>
  </si>
  <si>
    <t>V45</t>
  </si>
  <si>
    <t>AF55</t>
  </si>
  <si>
    <t>AH55</t>
  </si>
  <si>
    <t>AJ55</t>
  </si>
  <si>
    <t>D55</t>
  </si>
  <si>
    <t>F55</t>
  </si>
  <si>
    <t>L55</t>
  </si>
  <si>
    <t>N55</t>
  </si>
  <si>
    <t>P55</t>
  </si>
  <si>
    <t>V55</t>
  </si>
  <si>
    <t>X55</t>
  </si>
  <si>
    <t>Z55</t>
  </si>
  <si>
    <t>AB56</t>
  </si>
  <si>
    <t>AL56</t>
  </si>
  <si>
    <t>AF58</t>
  </si>
  <si>
    <t>V58</t>
  </si>
  <si>
    <t>AF63</t>
  </si>
  <si>
    <t>AH63</t>
  </si>
  <si>
    <t>AJ63</t>
  </si>
  <si>
    <t>D63</t>
  </si>
  <si>
    <t>N63</t>
  </si>
  <si>
    <t>P63</t>
  </si>
  <si>
    <t>V63</t>
  </si>
  <si>
    <t>X63</t>
  </si>
  <si>
    <t>Z63</t>
  </si>
  <si>
    <t>AB64</t>
  </si>
  <si>
    <t>AL64</t>
  </si>
  <si>
    <t>H64</t>
  </si>
  <si>
    <t>R64</t>
  </si>
  <si>
    <t>AF66</t>
  </si>
  <si>
    <t>L66</t>
  </si>
  <si>
    <t>V66</t>
  </si>
  <si>
    <t>AF72</t>
  </si>
  <si>
    <t>AH72</t>
  </si>
  <si>
    <t>D72</t>
  </si>
  <si>
    <t>N72</t>
  </si>
  <si>
    <t>V72</t>
  </si>
  <si>
    <t>X72</t>
  </si>
  <si>
    <t>AJ73</t>
  </si>
  <si>
    <t>F73</t>
  </si>
  <si>
    <t>P73</t>
  </si>
  <si>
    <t>Z73</t>
  </si>
  <si>
    <t>AF76</t>
  </si>
  <si>
    <t>L76</t>
  </si>
  <si>
    <t>V76</t>
  </si>
  <si>
    <t>Tabla JCA Mayagüez</t>
  </si>
  <si>
    <t>Tabla JCA Cambalache (new)</t>
  </si>
  <si>
    <t>Cálculos Cambalache (60%) (2)</t>
  </si>
  <si>
    <t>Cálculos Cambalache</t>
  </si>
  <si>
    <t>B93</t>
  </si>
  <si>
    <t>Fuentes adicionales utilizadas en las tasas</t>
  </si>
  <si>
    <t>F38</t>
  </si>
  <si>
    <t>006)Consumos Combustible y Cálculos de Emisiones 2026 JUNIO.xlsx: Cálculos AG!F38</t>
  </si>
  <si>
    <t>006)Consumos Combustible y Cálculos de Emisiones 2026 JUNIO.xlsx: Cálculos PS!F38</t>
  </si>
  <si>
    <t>003)Consumos Combustible y Calculos de Emisiones 2026 MARZO.xlsx: Cálculos Cambalache!F19</t>
  </si>
  <si>
    <t>002)Consumos Combustible y Cálculos de Emisiones 2026 FEBRERO.xlsx: Cálculos Cambalache (60%)!F59</t>
  </si>
  <si>
    <t>Exhibit 2D / Cambalache</t>
  </si>
  <si>
    <t>D3:D4</t>
  </si>
  <si>
    <t>Exhibit 2D, 'Cambalache'!D15:D16; mismo valor calorífico para ambas unidades.</t>
  </si>
  <si>
    <t>C3:C4</t>
  </si>
  <si>
    <t>Exhibit 2D, 'Cambalache'!C15:C16; suma de barriles de ambas unidades.</t>
  </si>
  <si>
    <t>Emisiones mensuales 2026</t>
  </si>
  <si>
    <t>Concepto</t>
  </si>
  <si>
    <t>Unidad</t>
  </si>
  <si>
    <t>Ene</t>
  </si>
  <si>
    <t>Feb</t>
  </si>
  <si>
    <t>Mar</t>
  </si>
  <si>
    <t>Abr</t>
  </si>
  <si>
    <t>Jun</t>
  </si>
  <si>
    <t>SOx / SO2</t>
  </si>
  <si>
    <t>Detalle por instalación: entradas mensuales y emisiones calculadas</t>
  </si>
  <si>
    <t>Palo Seco y MobilePacs</t>
  </si>
  <si>
    <t>MPs combustible #2</t>
  </si>
  <si>
    <t>MobilePacs · gas natural (SCF)</t>
  </si>
  <si>
    <t>MPs SO2 con entrada de gas</t>
  </si>
  <si>
    <t>MPs CO2e con entrada de gas</t>
  </si>
  <si>
    <t>Daguao</t>
  </si>
  <si>
    <t>Tasas de emisión 2026</t>
  </si>
  <si>
    <t>CO2e (complementario)</t>
  </si>
  <si>
    <t>Combustible incluido en cada tasa (MMBtu)</t>
  </si>
  <si>
    <t>Alcance general documentado</t>
  </si>
  <si>
    <t>Fuentes del agregado PM</t>
  </si>
  <si>
    <t>Fuentes del agregado PM10</t>
  </si>
  <si>
    <t>Fuentes del agregado PM2.5</t>
  </si>
  <si>
    <t>Fuentes del agregado H2SO4</t>
  </si>
  <si>
    <t>Emisiones  (ton)</t>
  </si>
  <si>
    <t>ton cortas</t>
  </si>
  <si>
    <t>Emisiones usadas para calcular las tasas (ton)</t>
  </si>
  <si>
    <t>Factores del gas de MobilePacs</t>
  </si>
  <si>
    <t>Libras por tonelada corta</t>
  </si>
  <si>
    <t>lb/ton</t>
  </si>
  <si>
    <t>Btu por MMBtu</t>
  </si>
  <si>
    <t>Btu/MMBtu</t>
  </si>
  <si>
    <t>Galones por barril</t>
  </si>
  <si>
    <t>gal/bbl</t>
  </si>
  <si>
    <t>Cantidad de combustible consumido</t>
  </si>
  <si>
    <t>Costa Sur 5 · Bunker C</t>
  </si>
  <si>
    <t>Costa Sur 5 · gas natural</t>
  </si>
  <si>
    <t>Costa Sur 6 · Bunker C</t>
  </si>
  <si>
    <t>Costa Sur 6 · gas natural</t>
  </si>
  <si>
    <t>Costa Sur turbinas · diésel</t>
  </si>
  <si>
    <t>San Juan vapor · Bunker C</t>
  </si>
  <si>
    <t>San Juan 5 · diésel</t>
  </si>
  <si>
    <t>San Juan 5 · gas natural</t>
  </si>
  <si>
    <t>San Juan 6 · diésel</t>
  </si>
  <si>
    <t>San Juan 6 · gas natural</t>
  </si>
  <si>
    <t>Aguirre vapor · Bunker C</t>
  </si>
  <si>
    <t>Aguirre CC y turbinas · diésel</t>
  </si>
  <si>
    <t>Palo Seco vapor · Bunker C</t>
  </si>
  <si>
    <t>Palo Seco turbinas · diésel</t>
  </si>
  <si>
    <t>MobilePacs · diésel</t>
  </si>
  <si>
    <t>MobilePacs · gas natural</t>
  </si>
  <si>
    <t>Cambalache · diésel, ambas unidades</t>
  </si>
  <si>
    <t>Daguao · diésel</t>
  </si>
  <si>
    <t>Yabucoa · diésel</t>
  </si>
  <si>
    <t>Vega Baja · diésel</t>
  </si>
  <si>
    <t>Jobos · diésel</t>
  </si>
  <si>
    <t>Mayagüez · diésel</t>
  </si>
  <si>
    <t>Energía por unidad de combustible</t>
  </si>
  <si>
    <t>MMBtu/gal</t>
  </si>
  <si>
    <t>Btu/SCF</t>
  </si>
  <si>
    <t>Cantidad × energía por unidad = MMBtu</t>
  </si>
  <si>
    <t>Cambalache · valor calorífico de abril a junio de 2026 (Exhibit 2D)</t>
  </si>
  <si>
    <t>Valor calorífico del Exhibit 2D</t>
  </si>
  <si>
    <t>Btu/bbl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</si>
</sst>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9">
    <numFmt numFmtId="164" formatCode="_(* #,##0.00_);_(* \(#,##0.00\);_(* \-??_);_(@_)"/>
    <numFmt numFmtId="165" formatCode="#,##0.0000_);[Red]\(#,##0.0000\)"/>
    <numFmt numFmtId="166" formatCode="#,##0.000_);[Red]\(#,##0.000\)"/>
    <numFmt numFmtId="167" formatCode="mmm\-yyyy"/>
    <numFmt numFmtId="168" formatCode="#,##0.00000"/>
    <numFmt numFmtId="169" formatCode="#,##0.0000"/>
    <numFmt numFmtId="170" formatCode="0.000"/>
    <numFmt numFmtId="171" formatCode="0.0000"/>
    <numFmt numFmtId="172" formatCode="0.0"/>
    <numFmt numFmtId="173" formatCode="00000"/>
    <numFmt numFmtId="174" formatCode="#,##0.000"/>
    <numFmt numFmtId="175" formatCode="0.00000"/>
    <numFmt numFmtId="176" formatCode="#,##0.00####"/>
    <numFmt numFmtId="177" formatCode="#,##0.000000;\(#,##0.000000\);\-"/>
    <numFmt numFmtId="178" formatCode="0.000000000"/>
    <numFmt numFmtId="179" formatCode="#,##0.000;\(#,##0.000\);\-"/>
    <numFmt numFmtId="180" formatCode="0.000000"/>
    <numFmt numFmtId="181" formatCode="0.00000000"/>
    <numFmt numFmtId="182" formatCode="#,##0.000000"/>
  </numFmts>
  <fonts count="52">
    <font>
      <sz val="10"/>
      <name val="Arial"/>
      <family val="2"/>
    </font>
    <font>
      <sz val="11"/>
      <color theme="1"/>
      <name val="Calibri"/>
      <charset val="1"/>
    </font>
    <font>
      <sz val="11"/>
      <color theme="0"/>
      <name val="Calibri"/>
      <charset val="1"/>
    </font>
    <font>
      <sz val="11"/>
      <color rgb="FF9C0006"/>
      <name val="Calibri"/>
      <charset val="1"/>
    </font>
    <font>
      <b/>
      <sz val="11"/>
      <color rgb="FFFA7D00"/>
      <name val="Calibri"/>
      <charset val="1"/>
    </font>
    <font>
      <b/>
      <sz val="11"/>
      <color theme="0"/>
      <name val="Calibri"/>
      <charset val="1"/>
    </font>
    <font>
      <sz val="10"/>
      <name val="Arial"/>
      <charset val="1"/>
    </font>
    <font>
      <i/>
      <sz val="11"/>
      <color rgb="FF7F7F7F"/>
      <name val="Calibri"/>
      <charset val="1"/>
    </font>
    <font>
      <sz val="11"/>
      <color rgb="FF006100"/>
      <name val="Calibri"/>
      <charset val="1"/>
    </font>
    <font>
      <b/>
      <sz val="15"/>
      <color theme="3"/>
      <name val="Calibri"/>
      <charset val="1"/>
    </font>
    <font>
      <b/>
      <sz val="13"/>
      <color theme="3"/>
      <name val="Calibri"/>
      <charset val="1"/>
    </font>
    <font>
      <b/>
      <sz val="11"/>
      <color theme="3"/>
      <name val="Calibri"/>
      <charset val="1"/>
    </font>
    <font>
      <sz val="11"/>
      <color rgb="FF3F3F76"/>
      <name val="Calibri"/>
      <charset val="1"/>
    </font>
    <font>
      <sz val="11"/>
      <color rgb="FFFA7D00"/>
      <name val="Calibri"/>
      <charset val="1"/>
    </font>
    <font>
      <sz val="11"/>
      <color rgb="FF9C6500"/>
      <name val="Calibri"/>
      <charset val="1"/>
    </font>
    <font>
      <b/>
      <sz val="11"/>
      <color rgb="FF3F3F3F"/>
      <name val="Calibri"/>
      <charset val="1"/>
    </font>
    <font>
      <b/>
      <sz val="18"/>
      <color theme="3"/>
      <name val="Cambria"/>
      <charset val="1"/>
    </font>
    <font>
      <b/>
      <sz val="11"/>
      <color theme="1"/>
      <name val="Calibri"/>
      <charset val="1"/>
    </font>
    <font>
      <sz val="11"/>
      <color rgb="FFFF0000"/>
      <name val="Calibri"/>
      <charset val="1"/>
    </font>
    <font>
      <b/>
      <u/>
      <sz val="14"/>
      <color theme="1"/>
      <name val="Calibri"/>
      <family val="2"/>
      <charset val="1"/>
    </font>
    <font>
      <sz val="11"/>
      <color theme="1"/>
      <name val="Calibri"/>
      <family val="2"/>
      <charset val="1"/>
    </font>
    <font>
      <b/>
      <sz val="14"/>
      <color theme="1"/>
      <name val="Calibri"/>
      <family val="2"/>
      <charset val="1"/>
    </font>
    <font>
      <b/>
      <sz val="11"/>
      <color theme="1"/>
      <name val="Calibri"/>
      <family val="2"/>
      <charset val="1"/>
    </font>
    <font>
      <sz val="10"/>
      <color theme="1"/>
      <name val="Calibri"/>
      <family val="2"/>
      <charset val="1"/>
    </font>
    <font>
      <b/>
      <sz val="11"/>
      <name val="Calibri"/>
      <charset val="1"/>
    </font>
    <font>
      <sz val="11"/>
      <name val="Calibri"/>
      <charset val="1"/>
    </font>
    <font>
      <sz val="11"/>
      <name val="Arial"/>
      <charset val="1"/>
    </font>
    <font>
      <b/>
      <sz val="11"/>
      <name val="Arial"/>
      <charset val="1"/>
    </font>
    <font>
      <b/>
      <sz val="10"/>
      <name val="Arial"/>
      <charset val="1"/>
    </font>
    <font>
      <sz val="11"/>
      <color rgb="FF000000"/>
      <name val="Calibri"/>
      <charset val="1"/>
    </font>
    <font>
      <b/>
      <sz val="10"/>
      <color theme="0"/>
      <name val="Arial"/>
      <charset val="1"/>
    </font>
    <font>
      <b/>
      <sz val="10"/>
      <color theme="1"/>
      <name val="Arial"/>
      <charset val="1"/>
    </font>
    <font>
      <b/>
      <sz val="11"/>
      <color rgb="FF000000"/>
      <name val="Calibri"/>
      <charset val="1"/>
    </font>
    <font>
      <sz val="8"/>
      <name val="Arial"/>
      <charset val="1"/>
    </font>
    <font>
      <b/>
      <sz val="10"/>
      <color rgb="FFFF0000"/>
      <name val="Arial"/>
      <charset val="1"/>
    </font>
    <font>
      <sz val="10"/>
      <color rgb="FF162032"/>
      <name val="Arial"/>
      <charset val="1"/>
    </font>
    <font>
      <b/>
      <sz val="14"/>
      <color rgb="FF0F5C5C"/>
      <name val="Aptos"/>
      <charset val="1"/>
    </font>
    <font>
      <i/>
      <sz val="9"/>
      <color rgb="FF666666"/>
      <name val="Aptos"/>
      <charset val="1"/>
    </font>
    <font>
      <b/>
      <sz val="9"/>
      <color rgb="FF0F5C5C"/>
      <name val="Aptos"/>
      <charset val="1"/>
    </font>
    <font>
      <sz val="9"/>
      <name val="Aptos"/>
      <charset val="1"/>
    </font>
    <font>
      <b/>
      <sz val="10"/>
      <color rgb="FFFFFFFF"/>
      <name val="Aptos"/>
      <charset val="1"/>
    </font>
    <font>
      <b/>
      <sz val="10"/>
      <color rgb="FF0F5C5C"/>
      <name val="Aptos"/>
      <charset val="1"/>
    </font>
    <font>
      <b/>
      <sz val="10"/>
      <color rgb="FFFFFFFF"/>
      <name val="Arial"/>
      <charset val="1"/>
    </font>
    <font>
      <sz val="9"/>
      <color rgb="FF000000"/>
      <name val="Aptos"/>
      <charset val="1"/>
    </font>
    <font>
      <sz val="9"/>
      <color rgb="FF666666"/>
      <name val="Aptos"/>
      <charset val="1"/>
    </font>
    <font>
      <sz val="10"/>
      <color rgb="FF28633F"/>
      <name val="Arial"/>
      <charset val="1"/>
    </font>
    <font>
      <b/>
      <sz val="10"/>
      <color rgb="FF233E5B"/>
      <name val="Arial"/>
      <charset val="1"/>
    </font>
    <font>
      <sz val="10"/>
      <color rgb="FF24354B"/>
      <name val="Arial"/>
      <charset val="1"/>
    </font>
    <font>
      <sz val="10"/>
      <color theme="1"/>
      <name val="Poppins"/>
      <charset val="1"/>
    </font>
    <font>
      <b/>
      <sz val="10"/>
      <color rgb="FF222222"/>
      <name val="Poppins"/>
      <charset val="1"/>
    </font>
    <font>
      <sz val="10"/>
      <color rgb="FF222222"/>
      <name val="Poppins"/>
      <charset val="1"/>
    </font>
    <font>
      <i/>
      <sz val="10"/>
      <color rgb="FF222222"/>
      <name val="Poppins"/>
      <charset val="1"/>
    </font>
  </fonts>
  <fills count="43">
    <fill>
      <patternFill patternType="none"/>
    </fill>
    <fill>
      <patternFill patternType="gray125"/>
    </fill>
    <fill>
      <patternFill patternType="solid">
        <fgColor theme="4" tint="0.79979857783745845"/>
        <bgColor rgb="FFDBEEF4"/>
      </patternFill>
    </fill>
    <fill>
      <patternFill patternType="solid">
        <fgColor theme="5" tint="0.79979857783745845"/>
        <bgColor rgb="FFE6E0EC"/>
      </patternFill>
    </fill>
    <fill>
      <patternFill patternType="solid">
        <fgColor theme="6" tint="0.79979857783745845"/>
        <bgColor rgb="FFE8F1F1"/>
      </patternFill>
    </fill>
    <fill>
      <patternFill patternType="solid">
        <fgColor theme="7" tint="0.79979857783745845"/>
        <bgColor rgb="FFE7E6E6"/>
      </patternFill>
    </fill>
    <fill>
      <patternFill patternType="solid">
        <fgColor theme="8" tint="0.79979857783745845"/>
        <bgColor rgb="FFDCE6F2"/>
      </patternFill>
    </fill>
    <fill>
      <patternFill patternType="solid">
        <fgColor theme="9" tint="0.79979857783745845"/>
        <bgColor rgb="FFFFF1CC"/>
      </patternFill>
    </fill>
    <fill>
      <patternFill patternType="solid">
        <fgColor theme="4" tint="0.59978026673177287"/>
        <bgColor rgb="FFB7DEE8"/>
      </patternFill>
    </fill>
    <fill>
      <patternFill patternType="solid">
        <fgColor theme="5" tint="0.59978026673177287"/>
        <bgColor rgb="FFFAC090"/>
      </patternFill>
    </fill>
    <fill>
      <patternFill patternType="solid">
        <fgColor theme="6" tint="0.59978026673177287"/>
        <bgColor rgb="FFD9D9D9"/>
      </patternFill>
    </fill>
    <fill>
      <patternFill patternType="solid">
        <fgColor theme="7" tint="0.59978026673177287"/>
        <bgColor rgb="FFC0C0C0"/>
      </patternFill>
    </fill>
    <fill>
      <patternFill patternType="solid">
        <fgColor theme="8" tint="0.59978026673177287"/>
        <bgColor rgb="FFB9CDE5"/>
      </patternFill>
    </fill>
    <fill>
      <patternFill patternType="solid">
        <fgColor theme="9" tint="0.59978026673177287"/>
        <bgColor rgb="FFFFCC99"/>
      </patternFill>
    </fill>
    <fill>
      <patternFill patternType="solid">
        <fgColor theme="4" tint="0.39979247413556324"/>
        <bgColor rgb="FF93CDDD"/>
      </patternFill>
    </fill>
    <fill>
      <patternFill patternType="solid">
        <fgColor theme="5" tint="0.39979247413556324"/>
        <bgColor rgb="FFB3A2C7"/>
      </patternFill>
    </fill>
    <fill>
      <patternFill patternType="solid">
        <fgColor theme="6" tint="0.39979247413556324"/>
        <bgColor rgb="FFD7E4BD"/>
      </patternFill>
    </fill>
    <fill>
      <patternFill patternType="solid">
        <fgColor theme="7" tint="0.39979247413556324"/>
        <bgColor rgb="FFA9A9A9"/>
      </patternFill>
    </fill>
    <fill>
      <patternFill patternType="solid">
        <fgColor theme="8" tint="0.39979247413556324"/>
        <bgColor rgb="FF97B5D9"/>
      </patternFill>
    </fill>
    <fill>
      <patternFill patternType="solid">
        <fgColor theme="9" tint="0.39979247413556324"/>
        <bgColor rgb="FFFFCC99"/>
      </patternFill>
    </fill>
    <fill>
      <patternFill patternType="solid">
        <fgColor theme="4"/>
        <bgColor rgb="FF6A8497"/>
      </patternFill>
    </fill>
    <fill>
      <patternFill patternType="solid">
        <fgColor theme="5"/>
        <bgColor rgb="FF8E6106"/>
      </patternFill>
    </fill>
    <fill>
      <patternFill patternType="solid">
        <fgColor theme="6"/>
        <bgColor rgb="FFA9A9A9"/>
      </patternFill>
    </fill>
    <fill>
      <patternFill patternType="solid">
        <fgColor theme="7"/>
        <bgColor rgb="FF7F7F7F"/>
      </patternFill>
    </fill>
    <fill>
      <patternFill patternType="solid">
        <fgColor theme="8"/>
        <bgColor rgb="FF5482B5"/>
      </patternFill>
    </fill>
    <fill>
      <patternFill patternType="solid">
        <fgColor theme="9"/>
        <bgColor rgb="FFFA7D00"/>
      </patternFill>
    </fill>
    <fill>
      <patternFill patternType="solid">
        <fgColor rgb="FFFFC7CE"/>
        <bgColor rgb="FFFCD5B5"/>
      </patternFill>
    </fill>
    <fill>
      <patternFill patternType="solid">
        <fgColor rgb="FFF2F2F2"/>
        <bgColor rgb="FFF0F3F6"/>
      </patternFill>
    </fill>
    <fill>
      <patternFill patternType="solid">
        <fgColor rgb="FFA9A9A9"/>
        <bgColor rgb="FFB3A2C7"/>
      </patternFill>
    </fill>
    <fill>
      <patternFill patternType="solid">
        <fgColor rgb="FFC6EFCE"/>
        <bgColor rgb="FFD7E4BD"/>
      </patternFill>
    </fill>
    <fill>
      <patternFill patternType="solid">
        <fgColor rgb="FFFFCC99"/>
        <bgColor rgb="FFFAC090"/>
      </patternFill>
    </fill>
    <fill>
      <patternFill patternType="solid">
        <fgColor rgb="FFFFEB9C"/>
        <bgColor rgb="FFFFF1CC"/>
      </patternFill>
    </fill>
    <fill>
      <patternFill patternType="solid">
        <fgColor rgb="FFFFFFCC"/>
        <bgColor rgb="FFFFF1CC"/>
      </patternFill>
    </fill>
    <fill>
      <patternFill patternType="solid">
        <fgColor theme="0"/>
        <bgColor rgb="FFF3F5F7"/>
      </patternFill>
    </fill>
    <fill>
      <patternFill patternType="solid">
        <fgColor rgb="FFFFFF00"/>
        <bgColor rgb="FFFFEB9C"/>
      </patternFill>
    </fill>
    <fill>
      <patternFill patternType="darkGray">
        <fgColor rgb="FF115E50"/>
        <bgColor rgb="FF055E18"/>
      </patternFill>
    </fill>
    <fill>
      <patternFill patternType="solid">
        <fgColor rgb="FFE8F1F1"/>
        <bgColor rgb="FFEAF0F4"/>
      </patternFill>
    </fill>
    <fill>
      <patternFill patternType="solid">
        <fgColor rgb="FFC19D06"/>
        <bgColor rgb="FFF79646"/>
      </patternFill>
    </fill>
    <fill>
      <patternFill patternType="solid">
        <fgColor rgb="FFF0F3F6"/>
        <bgColor rgb="FFF2F2F2"/>
      </patternFill>
    </fill>
    <fill>
      <patternFill patternType="solid">
        <fgColor rgb="FFF3F5F7"/>
        <bgColor rgb="FFF0F3F6"/>
      </patternFill>
    </fill>
    <fill>
      <patternFill patternType="solid">
        <fgColor rgb="FFE7E6E6"/>
        <bgColor rgb="FFE6E0EC"/>
      </patternFill>
    </fill>
    <fill>
      <patternFill patternType="solid">
        <fgColor rgb="FFEAF0F4"/>
        <bgColor rgb="FFE9EFF5"/>
      </patternFill>
    </fill>
    <fill>
      <patternFill patternType="solid">
        <fgColor rgb="FFE9EFF5"/>
        <bgColor rgb="FFEAF0F4"/>
      </patternFill>
    </fill>
  </fills>
  <borders count="95">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77111117893003"/>
      </bottom>
      <diagonal/>
    </border>
    <border>
      <left/>
      <right/>
      <top/>
      <bottom style="medium">
        <color theme="4" tint="0.39979247413556324"/>
      </bottom>
      <diagonal/>
    </border>
    <border>
      <left/>
      <right/>
      <top/>
      <bottom style="double">
        <color rgb="FFFA7D00"/>
      </bottom>
      <diagonal/>
    </border>
    <border>
      <left style="thin">
        <color rgb="FFA9A9A9"/>
      </left>
      <right style="thin">
        <color rgb="FFA9A9A9"/>
      </right>
      <top style="thin">
        <color rgb="FFA9A9A9"/>
      </top>
      <bottom style="thin">
        <color rgb="FFA9A9A9"/>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top style="thin">
        <color auto="1"/>
      </top>
      <bottom style="double">
        <color auto="1"/>
      </bottom>
      <diagonal/>
    </border>
    <border>
      <left/>
      <right/>
      <top style="thin">
        <color auto="1"/>
      </top>
      <bottom style="medium">
        <color auto="1"/>
      </bottom>
      <diagonal/>
    </border>
    <border>
      <left/>
      <right/>
      <top style="thin">
        <color auto="1"/>
      </top>
      <bottom/>
      <diagonal/>
    </border>
    <border>
      <left style="medium">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style="thick">
        <color auto="1"/>
      </left>
      <right style="medium">
        <color auto="1"/>
      </right>
      <top style="medium">
        <color auto="1"/>
      </top>
      <bottom style="medium">
        <color auto="1"/>
      </bottom>
      <diagonal/>
    </border>
    <border>
      <left style="medium">
        <color auto="1"/>
      </left>
      <right style="medium">
        <color auto="1"/>
      </right>
      <top style="medium">
        <color auto="1"/>
      </top>
      <bottom/>
      <diagonal/>
    </border>
    <border>
      <left/>
      <right style="thin">
        <color auto="1"/>
      </right>
      <top style="medium">
        <color auto="1"/>
      </top>
      <bottom style="medium">
        <color auto="1"/>
      </bottom>
      <diagonal/>
    </border>
    <border>
      <left style="thin">
        <color auto="1"/>
      </left>
      <right/>
      <top style="medium">
        <color auto="1"/>
      </top>
      <bottom style="medium">
        <color auto="1"/>
      </bottom>
      <diagonal/>
    </border>
    <border>
      <left style="thick">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style="medium">
        <color auto="1"/>
      </right>
      <top style="medium">
        <color auto="1"/>
      </top>
      <bottom style="thin">
        <color auto="1"/>
      </bottom>
      <diagonal/>
    </border>
    <border>
      <left style="medium">
        <color auto="1"/>
      </left>
      <right/>
      <top style="medium">
        <color auto="1"/>
      </top>
      <bottom style="thin">
        <color auto="1"/>
      </bottom>
      <diagonal/>
    </border>
    <border>
      <left style="medium">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right style="medium">
        <color auto="1"/>
      </right>
      <top style="medium">
        <color auto="1"/>
      </top>
      <bottom style="thin">
        <color auto="1"/>
      </bottom>
      <diagonal/>
    </border>
    <border>
      <left style="thin">
        <color auto="1"/>
      </left>
      <right style="thin">
        <color auto="1"/>
      </right>
      <top style="medium">
        <color auto="1"/>
      </top>
      <bottom style="thin">
        <color auto="1"/>
      </bottom>
      <diagonal/>
    </border>
    <border>
      <left style="medium">
        <color auto="1"/>
      </left>
      <right style="medium">
        <color auto="1"/>
      </right>
      <top style="thin">
        <color auto="1"/>
      </top>
      <bottom style="thin">
        <color auto="1"/>
      </bottom>
      <diagonal/>
    </border>
    <border>
      <left style="medium">
        <color auto="1"/>
      </left>
      <right/>
      <top style="thin">
        <color auto="1"/>
      </top>
      <bottom style="thin">
        <color auto="1"/>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right style="medium">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rgb="FFC0C0C0"/>
      </left>
      <right style="thin">
        <color rgb="FFC0C0C0"/>
      </right>
      <top style="thin">
        <color rgb="FFC0C0C0"/>
      </top>
      <bottom style="thin">
        <color rgb="FFC0C0C0"/>
      </bottom>
      <diagonal/>
    </border>
    <border>
      <left style="medium">
        <color auto="1"/>
      </left>
      <right style="medium">
        <color auto="1"/>
      </right>
      <top style="thin">
        <color auto="1"/>
      </top>
      <bottom style="medium">
        <color auto="1"/>
      </bottom>
      <diagonal/>
    </border>
    <border>
      <left style="medium">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right style="medium">
        <color auto="1"/>
      </right>
      <top style="thin">
        <color auto="1"/>
      </top>
      <bottom style="medium">
        <color auto="1"/>
      </bottom>
      <diagonal/>
    </border>
    <border>
      <left style="medium">
        <color auto="1"/>
      </left>
      <right style="medium">
        <color auto="1"/>
      </right>
      <top/>
      <bottom style="medium">
        <color auto="1"/>
      </bottom>
      <diagonal/>
    </border>
    <border>
      <left/>
      <right/>
      <top style="medium">
        <color auto="1"/>
      </top>
      <bottom style="medium">
        <color auto="1"/>
      </bottom>
      <diagonal/>
    </border>
    <border>
      <left style="thick">
        <color auto="1"/>
      </left>
      <right/>
      <top style="medium">
        <color auto="1"/>
      </top>
      <bottom style="medium">
        <color auto="1"/>
      </bottom>
      <diagonal/>
    </border>
    <border>
      <left style="thick">
        <color auto="1"/>
      </left>
      <right style="thick">
        <color auto="1"/>
      </right>
      <top style="medium">
        <color auto="1"/>
      </top>
      <bottom style="medium">
        <color auto="1"/>
      </bottom>
      <diagonal/>
    </border>
    <border>
      <left style="medium">
        <color auto="1"/>
      </left>
      <right style="medium">
        <color auto="1"/>
      </right>
      <top/>
      <bottom style="thin">
        <color auto="1"/>
      </bottom>
      <diagonal/>
    </border>
    <border>
      <left style="thin">
        <color auto="1"/>
      </left>
      <right/>
      <top/>
      <bottom style="thin">
        <color auto="1"/>
      </bottom>
      <diagonal/>
    </border>
    <border>
      <left/>
      <right/>
      <top/>
      <bottom style="thin">
        <color auto="1"/>
      </bottom>
      <diagonal/>
    </border>
    <border>
      <left style="thin">
        <color auto="1"/>
      </left>
      <right style="thin">
        <color auto="1"/>
      </right>
      <top/>
      <bottom style="thin">
        <color auto="1"/>
      </bottom>
      <diagonal/>
    </border>
    <border>
      <left style="thin">
        <color auto="1"/>
      </left>
      <right/>
      <top/>
      <bottom/>
      <diagonal/>
    </border>
    <border>
      <left/>
      <right style="thin">
        <color auto="1"/>
      </right>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medium">
        <color auto="1"/>
      </left>
      <right style="thin">
        <color auto="1"/>
      </right>
      <top/>
      <bottom style="thin">
        <color auto="1"/>
      </bottom>
      <diagonal/>
    </border>
    <border>
      <left style="thin">
        <color auto="1"/>
      </left>
      <right style="medium">
        <color auto="1"/>
      </right>
      <top/>
      <bottom style="thin">
        <color auto="1"/>
      </bottom>
      <diagonal/>
    </border>
    <border>
      <left style="thin">
        <color auto="1"/>
      </left>
      <right/>
      <top style="thin">
        <color auto="1"/>
      </top>
      <bottom style="thin">
        <color auto="1"/>
      </bottom>
      <diagonal/>
    </border>
    <border>
      <left style="medium">
        <color auto="1"/>
      </left>
      <right/>
      <top/>
      <bottom/>
      <diagonal/>
    </border>
    <border>
      <left style="medium">
        <color auto="1"/>
      </left>
      <right style="thin">
        <color auto="1"/>
      </right>
      <top/>
      <bottom style="medium">
        <color auto="1"/>
      </bottom>
      <diagonal/>
    </border>
    <border>
      <left style="thin">
        <color auto="1"/>
      </left>
      <right style="thin">
        <color auto="1"/>
      </right>
      <top/>
      <bottom style="medium">
        <color auto="1"/>
      </bottom>
      <diagonal/>
    </border>
    <border>
      <left style="thin">
        <color auto="1"/>
      </left>
      <right/>
      <top/>
      <bottom style="medium">
        <color auto="1"/>
      </bottom>
      <diagonal/>
    </border>
    <border>
      <left style="thin">
        <color auto="1"/>
      </left>
      <right style="medium">
        <color auto="1"/>
      </right>
      <top/>
      <bottom style="medium">
        <color auto="1"/>
      </bottom>
      <diagonal/>
    </border>
    <border>
      <left/>
      <right/>
      <top style="medium">
        <color auto="1"/>
      </top>
      <bottom/>
      <diagonal/>
    </border>
    <border>
      <left/>
      <right style="thin">
        <color auto="1"/>
      </right>
      <top/>
      <bottom style="thin">
        <color auto="1"/>
      </bottom>
      <diagonal/>
    </border>
    <border>
      <left style="medium">
        <color auto="1"/>
      </left>
      <right style="thick">
        <color auto="1"/>
      </right>
      <top style="medium">
        <color auto="1"/>
      </top>
      <bottom style="medium">
        <color auto="1"/>
      </bottom>
      <diagonal/>
    </border>
    <border>
      <left style="thin">
        <color rgb="FFC0C0C0"/>
      </left>
      <right style="medium">
        <color auto="1"/>
      </right>
      <top style="thin">
        <color rgb="FFC0C0C0"/>
      </top>
      <bottom style="thin">
        <color rgb="FFC0C0C0"/>
      </bottom>
      <diagonal/>
    </border>
    <border>
      <left style="medium">
        <color auto="1"/>
      </left>
      <right style="medium">
        <color auto="1"/>
      </right>
      <top/>
      <bottom/>
      <diagonal/>
    </border>
    <border>
      <left style="medium">
        <color auto="1"/>
      </left>
      <right style="thin">
        <color rgb="FFC0C0C0"/>
      </right>
      <top style="thin">
        <color rgb="FFC0C0C0"/>
      </top>
      <bottom style="thin">
        <color rgb="FFC0C0C0"/>
      </bottom>
      <diagonal/>
    </border>
    <border>
      <left style="medium">
        <color auto="1"/>
      </left>
      <right/>
      <top style="thin">
        <color auto="1"/>
      </top>
      <bottom style="medium">
        <color auto="1"/>
      </bottom>
      <diagonal/>
    </border>
    <border>
      <left style="thin">
        <color auto="1"/>
      </left>
      <right style="thin">
        <color auto="1"/>
      </right>
      <top style="thin">
        <color auto="1"/>
      </top>
      <bottom/>
      <diagonal/>
    </border>
    <border>
      <left style="thin">
        <color auto="1"/>
      </left>
      <right/>
      <top style="thin">
        <color auto="1"/>
      </top>
      <bottom/>
      <diagonal/>
    </border>
    <border>
      <left/>
      <right style="thin">
        <color auto="1"/>
      </right>
      <top style="thin">
        <color auto="1"/>
      </top>
      <bottom/>
      <diagonal/>
    </border>
    <border>
      <left/>
      <right style="medium">
        <color auto="1"/>
      </right>
      <top style="medium">
        <color auto="1"/>
      </top>
      <bottom style="medium">
        <color auto="1"/>
      </bottom>
      <diagonal/>
    </border>
    <border>
      <left style="thin">
        <color auto="1"/>
      </left>
      <right style="thin">
        <color auto="1"/>
      </right>
      <top style="thin">
        <color auto="1"/>
      </top>
      <bottom style="medium">
        <color auto="1"/>
      </bottom>
      <diagonal/>
    </border>
    <border>
      <left style="thin">
        <color auto="1"/>
      </left>
      <right style="thin">
        <color auto="1"/>
      </right>
      <top style="medium">
        <color auto="1"/>
      </top>
      <bottom/>
      <diagonal/>
    </border>
    <border>
      <left style="thin">
        <color auto="1"/>
      </left>
      <right/>
      <top style="medium">
        <color auto="1"/>
      </top>
      <bottom/>
      <diagonal/>
    </border>
    <border>
      <left/>
      <right style="thin">
        <color auto="1"/>
      </right>
      <top style="medium">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rgb="FFC0C0C0"/>
      </bottom>
      <diagonal/>
    </border>
    <border>
      <left/>
      <right style="medium">
        <color auto="1"/>
      </right>
      <top/>
      <bottom/>
      <diagonal/>
    </border>
    <border>
      <left style="medium">
        <color auto="1"/>
      </left>
      <right/>
      <top/>
      <bottom style="thin">
        <color auto="1"/>
      </bottom>
      <diagonal/>
    </border>
    <border>
      <left/>
      <right/>
      <top/>
      <bottom style="medium">
        <color auto="1"/>
      </bottom>
      <diagonal/>
    </border>
    <border>
      <left/>
      <right style="medium">
        <color auto="1"/>
      </right>
      <top/>
      <bottom style="medium">
        <color auto="1"/>
      </bottom>
      <diagonal/>
    </border>
    <border>
      <left style="thin">
        <color auto="1"/>
      </left>
      <right style="thin">
        <color auto="1"/>
      </right>
      <top style="medium">
        <color auto="1"/>
      </top>
      <bottom style="thin">
        <color rgb="FFC0C0C0"/>
      </bottom>
      <diagonal/>
    </border>
    <border>
      <left style="thin">
        <color auto="1"/>
      </left>
      <right style="medium">
        <color auto="1"/>
      </right>
      <top style="medium">
        <color auto="1"/>
      </top>
      <bottom style="thin">
        <color rgb="FFC0C0C0"/>
      </bottom>
      <diagonal/>
    </border>
    <border>
      <left style="thin">
        <color auto="1"/>
      </left>
      <right style="thin">
        <color auto="1"/>
      </right>
      <top style="thin">
        <color rgb="FFC0C0C0"/>
      </top>
      <bottom style="thin">
        <color auto="1"/>
      </bottom>
      <diagonal/>
    </border>
    <border>
      <left style="thin">
        <color auto="1"/>
      </left>
      <right style="medium">
        <color auto="1"/>
      </right>
      <top style="thin">
        <color rgb="FFC0C0C0"/>
      </top>
      <bottom style="thin">
        <color auto="1"/>
      </bottom>
      <diagonal/>
    </border>
    <border>
      <left style="medium">
        <color auto="1"/>
      </left>
      <right/>
      <top/>
      <bottom style="medium">
        <color auto="1"/>
      </bottom>
      <diagonal/>
    </border>
    <border>
      <left/>
      <right style="medium">
        <color auto="1"/>
      </right>
      <top/>
      <bottom style="thin">
        <color auto="1"/>
      </bottom>
      <diagonal/>
    </border>
    <border>
      <left/>
      <right/>
      <top style="thin">
        <color auto="1"/>
      </top>
      <bottom style="thin">
        <color auto="1"/>
      </bottom>
      <diagonal/>
    </border>
    <border>
      <left style="thin">
        <color auto="1"/>
      </left>
      <right style="thin">
        <color auto="1"/>
      </right>
      <top/>
      <bottom/>
      <diagonal/>
    </border>
    <border>
      <left/>
      <right style="thin">
        <color auto="1"/>
      </right>
      <top style="thin">
        <color auto="1"/>
      </top>
      <bottom style="medium">
        <color auto="1"/>
      </bottom>
      <diagonal/>
    </border>
    <border>
      <left style="medium">
        <color auto="1"/>
      </left>
      <right style="thin">
        <color auto="1"/>
      </right>
      <top style="thin">
        <color auto="1"/>
      </top>
      <bottom/>
      <diagonal/>
    </border>
    <border>
      <left style="thin">
        <color auto="1"/>
      </left>
      <right style="medium">
        <color auto="1"/>
      </right>
      <top style="thin">
        <color auto="1"/>
      </top>
      <bottom/>
      <diagonal/>
    </border>
    <border>
      <left style="thin">
        <color rgb="FFC0C0C0"/>
      </left>
      <right style="thin">
        <color rgb="FFC0C0C0"/>
      </right>
      <top style="thin">
        <color rgb="FFC0C0C0"/>
      </top>
      <bottom style="medium">
        <color rgb="FFC0C0C0"/>
      </bottom>
      <diagonal/>
    </border>
    <border>
      <left/>
      <right/>
      <top style="medium">
        <color auto="1"/>
      </top>
      <bottom style="thin">
        <color auto="1"/>
      </bottom>
      <diagonal/>
    </border>
    <border>
      <left style="thin">
        <color rgb="FFD9D9D9"/>
      </left>
      <right style="thin">
        <color rgb="FFD9D9D9"/>
      </right>
      <top style="thin">
        <color rgb="FFD9D9D9"/>
      </top>
      <bottom style="thin">
        <color rgb="FFD9D9D9"/>
      </bottom>
      <diagonal/>
    </border>
    <border>
      <left/>
      <right/>
      <top style="thin">
        <color rgb="FF243A58"/>
      </top>
      <bottom/>
      <diagonal/>
    </border>
    <border>
      <left/>
      <right/>
      <top/>
      <bottom style="thin">
        <color rgb="FF243A58"/>
      </bottom>
      <diagonal/>
    </border>
  </borders>
  <cellStyleXfs count="50">
    <xf numFmtId="0" fontId="0" fillId="0" borderId="0"/>
    <xf numFmtId="0" fontId="1" fillId="2" borderId="0"/>
    <xf numFmtId="0" fontId="1" fillId="3" borderId="0"/>
    <xf numFmtId="0" fontId="1" fillId="4" borderId="0"/>
    <xf numFmtId="0" fontId="1" fillId="5" borderId="0"/>
    <xf numFmtId="0" fontId="1" fillId="6" borderId="0"/>
    <xf numFmtId="0" fontId="1" fillId="7" borderId="0"/>
    <xf numFmtId="0" fontId="1" fillId="8" borderId="0"/>
    <xf numFmtId="0" fontId="1" fillId="9" borderId="0"/>
    <xf numFmtId="0" fontId="1" fillId="10" borderId="0"/>
    <xf numFmtId="0" fontId="1" fillId="11" borderId="0"/>
    <xf numFmtId="0" fontId="1" fillId="12" borderId="0"/>
    <xf numFmtId="0" fontId="1" fillId="13" borderId="0"/>
    <xf numFmtId="0" fontId="2" fillId="14" borderId="0"/>
    <xf numFmtId="0" fontId="2" fillId="15" borderId="0"/>
    <xf numFmtId="0" fontId="2" fillId="16" borderId="0"/>
    <xf numFmtId="0" fontId="2" fillId="17" borderId="0"/>
    <xf numFmtId="0" fontId="2" fillId="18" borderId="0"/>
    <xf numFmtId="0" fontId="2" fillId="19" borderId="0"/>
    <xf numFmtId="0" fontId="2" fillId="20" borderId="0"/>
    <xf numFmtId="0" fontId="2" fillId="21" borderId="0"/>
    <xf numFmtId="0" fontId="2" fillId="22" borderId="0"/>
    <xf numFmtId="0" fontId="2" fillId="23" borderId="0"/>
    <xf numFmtId="0" fontId="2" fillId="24" borderId="0"/>
    <xf numFmtId="0" fontId="2" fillId="25" borderId="0"/>
    <xf numFmtId="0" fontId="3" fillId="26" borderId="0"/>
    <xf numFmtId="0" fontId="4" fillId="27" borderId="1"/>
    <xf numFmtId="0" fontId="5" fillId="28" borderId="2"/>
    <xf numFmtId="164" fontId="6" fillId="0" borderId="0"/>
    <xf numFmtId="0" fontId="7" fillId="0" borderId="0"/>
    <xf numFmtId="0" fontId="8" fillId="29" borderId="0"/>
    <xf numFmtId="0" fontId="9" fillId="0" borderId="3"/>
    <xf numFmtId="0" fontId="10" fillId="0" borderId="4"/>
    <xf numFmtId="0" fontId="11" fillId="0" borderId="5"/>
    <xf numFmtId="0" fontId="11" fillId="0" borderId="0"/>
    <xf numFmtId="0" fontId="12" fillId="30" borderId="1"/>
    <xf numFmtId="0" fontId="13" fillId="0" borderId="6"/>
    <xf numFmtId="0" fontId="14" fillId="31" borderId="0"/>
    <xf numFmtId="0" fontId="1" fillId="0" borderId="0"/>
    <xf numFmtId="0" fontId="6" fillId="0" borderId="0">
      <alignment vertical="top"/>
    </xf>
    <xf numFmtId="0" fontId="1" fillId="0" borderId="0"/>
    <xf numFmtId="0" fontId="6" fillId="0" borderId="0">
      <alignment vertical="top"/>
    </xf>
    <xf numFmtId="0" fontId="6" fillId="0" borderId="0">
      <alignment vertical="top"/>
    </xf>
    <xf numFmtId="0" fontId="6" fillId="0" borderId="0">
      <alignment vertical="top"/>
    </xf>
    <xf numFmtId="0" fontId="1" fillId="32" borderId="7"/>
    <xf numFmtId="0" fontId="15" fillId="27" borderId="8"/>
    <xf numFmtId="9" fontId="6" fillId="0" borderId="0"/>
    <xf numFmtId="0" fontId="16" fillId="0" borderId="0"/>
    <xf numFmtId="0" fontId="17" fillId="0" borderId="9"/>
    <xf numFmtId="0" fontId="18" fillId="0" borderId="0"/>
  </cellStyleXfs>
  <cellXfs count="614">
    <xf numFmtId="0" fontId="0" fillId="0" borderId="0" xfId="0"/>
    <xf numFmtId="0" fontId="19" fillId="0" borderId="0" xfId="38" applyFont="1" applyBorder="1"/>
    <xf numFmtId="0" fontId="20" fillId="0" borderId="0" xfId="38" applyFont="1" applyBorder="1"/>
    <xf numFmtId="0" fontId="21" fillId="0" borderId="0" xfId="38" applyFont="1" applyBorder="1"/>
    <xf numFmtId="40" fontId="19" fillId="0" borderId="0" xfId="38" applyNumberFormat="1" applyFont="1" applyBorder="1" applyAlignment="1">
      <alignment horizontal="center"/>
    </xf>
    <xf numFmtId="40" fontId="19" fillId="0" borderId="0" xfId="38" applyNumberFormat="1" applyFont="1" applyBorder="1" applyAlignment="1">
      <alignment horizontal="center" wrapText="1"/>
    </xf>
    <xf numFmtId="0" fontId="22" fillId="0" borderId="0" xfId="38" applyFont="1" applyBorder="1"/>
    <xf numFmtId="40" fontId="21" fillId="0" borderId="0" xfId="38" applyNumberFormat="1" applyFont="1" applyBorder="1"/>
    <xf numFmtId="40" fontId="23" fillId="0" borderId="0" xfId="38" applyNumberFormat="1" applyFont="1" applyBorder="1"/>
    <xf numFmtId="40" fontId="20" fillId="0" borderId="0" xfId="38" applyNumberFormat="1" applyFont="1" applyBorder="1"/>
    <xf numFmtId="0" fontId="20" fillId="0" borderId="0" xfId="38" applyFont="1" applyBorder="1" applyAlignment="1">
      <alignment horizontal="right"/>
    </xf>
    <xf numFmtId="0" fontId="24" fillId="0" borderId="0" xfId="38" applyFont="1" applyBorder="1"/>
    <xf numFmtId="40" fontId="21" fillId="0" borderId="10" xfId="38" applyNumberFormat="1" applyFont="1" applyBorder="1"/>
    <xf numFmtId="40" fontId="21" fillId="0" borderId="11" xfId="38" applyNumberFormat="1" applyFont="1" applyBorder="1"/>
    <xf numFmtId="165" fontId="20" fillId="0" borderId="0" xfId="38" applyNumberFormat="1" applyFont="1" applyBorder="1" applyAlignment="1">
      <alignment horizontal="right"/>
    </xf>
    <xf numFmtId="40" fontId="22" fillId="0" borderId="12" xfId="38" applyNumberFormat="1" applyFont="1" applyBorder="1"/>
    <xf numFmtId="40" fontId="22" fillId="0" borderId="11" xfId="38" applyNumberFormat="1" applyFont="1" applyBorder="1"/>
    <xf numFmtId="166" fontId="20" fillId="0" borderId="0" xfId="38" applyNumberFormat="1" applyFont="1" applyBorder="1"/>
    <xf numFmtId="166" fontId="20" fillId="0" borderId="0" xfId="38" applyNumberFormat="1" applyFont="1" applyBorder="1" applyAlignment="1">
      <alignment horizontal="right"/>
    </xf>
    <xf numFmtId="165" fontId="20" fillId="0" borderId="0" xfId="38" applyNumberFormat="1" applyFont="1" applyBorder="1"/>
    <xf numFmtId="40" fontId="21" fillId="0" borderId="0" xfId="38" applyNumberFormat="1" applyFont="1" applyBorder="1" applyAlignment="1">
      <alignment horizontal="center"/>
    </xf>
    <xf numFmtId="40" fontId="20" fillId="0" borderId="0" xfId="38" applyNumberFormat="1" applyFont="1" applyBorder="1" applyAlignment="1">
      <alignment horizontal="right"/>
    </xf>
    <xf numFmtId="40" fontId="21" fillId="0" borderId="10" xfId="38" applyNumberFormat="1" applyFont="1" applyBorder="1" applyAlignment="1">
      <alignment horizontal="right"/>
    </xf>
    <xf numFmtId="0" fontId="25" fillId="33" borderId="0" xfId="38" applyFont="1" applyFill="1"/>
    <xf numFmtId="0" fontId="24" fillId="33" borderId="13" xfId="38" applyFont="1" applyFill="1" applyBorder="1" applyAlignment="1">
      <alignment horizontal="center"/>
    </xf>
    <xf numFmtId="0" fontId="24" fillId="33" borderId="14" xfId="38" applyFont="1" applyFill="1" applyBorder="1" applyAlignment="1">
      <alignment horizontal="center"/>
    </xf>
    <xf numFmtId="0" fontId="24" fillId="33" borderId="13" xfId="38" applyFont="1" applyFill="1" applyBorder="1"/>
    <xf numFmtId="0" fontId="24" fillId="33" borderId="16" xfId="38" applyFont="1" applyFill="1" applyBorder="1" applyAlignment="1">
      <alignment horizontal="center"/>
    </xf>
    <xf numFmtId="0" fontId="24" fillId="33" borderId="17" xfId="38" applyFont="1" applyFill="1" applyBorder="1" applyAlignment="1">
      <alignment horizontal="center"/>
    </xf>
    <xf numFmtId="0" fontId="24" fillId="33" borderId="18" xfId="38" applyFont="1" applyFill="1" applyBorder="1" applyAlignment="1">
      <alignment horizontal="center"/>
    </xf>
    <xf numFmtId="0" fontId="24" fillId="33" borderId="19" xfId="38" applyFont="1" applyFill="1" applyBorder="1" applyAlignment="1">
      <alignment horizontal="center"/>
    </xf>
    <xf numFmtId="0" fontId="24" fillId="33" borderId="20" xfId="38" applyFont="1" applyFill="1" applyBorder="1" applyAlignment="1">
      <alignment horizontal="center"/>
    </xf>
    <xf numFmtId="167" fontId="25" fillId="33" borderId="21" xfId="38" applyNumberFormat="1" applyFont="1" applyFill="1" applyBorder="1" applyAlignment="1">
      <alignment horizontal="center" wrapText="1"/>
    </xf>
    <xf numFmtId="4" fontId="25" fillId="33" borderId="21" xfId="38" applyNumberFormat="1" applyFont="1" applyFill="1" applyBorder="1" applyAlignment="1">
      <alignment horizontal="center" wrapText="1"/>
    </xf>
    <xf numFmtId="4" fontId="25" fillId="33" borderId="22" xfId="38" applyNumberFormat="1" applyFont="1" applyFill="1" applyBorder="1" applyAlignment="1">
      <alignment horizontal="center" wrapText="1"/>
    </xf>
    <xf numFmtId="4" fontId="25" fillId="33" borderId="23" xfId="38" applyNumberFormat="1" applyFont="1" applyFill="1" applyBorder="1" applyAlignment="1">
      <alignment horizontal="center" wrapText="1"/>
    </xf>
    <xf numFmtId="4" fontId="25" fillId="33" borderId="24" xfId="38" applyNumberFormat="1" applyFont="1" applyFill="1" applyBorder="1" applyAlignment="1">
      <alignment horizontal="center" wrapText="1"/>
    </xf>
    <xf numFmtId="4" fontId="25" fillId="33" borderId="25" xfId="38" applyNumberFormat="1" applyFont="1" applyFill="1" applyBorder="1" applyAlignment="1">
      <alignment horizontal="center" wrapText="1"/>
    </xf>
    <xf numFmtId="4" fontId="25" fillId="0" borderId="26" xfId="38" applyNumberFormat="1" applyFont="1" applyBorder="1" applyAlignment="1">
      <alignment horizontal="center" wrapText="1"/>
    </xf>
    <xf numFmtId="4" fontId="25" fillId="0" borderId="24" xfId="38" applyNumberFormat="1" applyFont="1" applyBorder="1" applyAlignment="1">
      <alignment horizontal="center" wrapText="1"/>
    </xf>
    <xf numFmtId="167" fontId="25" fillId="33" borderId="27" xfId="38" applyNumberFormat="1" applyFont="1" applyFill="1" applyBorder="1" applyAlignment="1">
      <alignment horizontal="center" wrapText="1"/>
    </xf>
    <xf numFmtId="4" fontId="25" fillId="33" borderId="27" xfId="38" applyNumberFormat="1" applyFont="1" applyFill="1" applyBorder="1" applyAlignment="1">
      <alignment horizontal="center" wrapText="1"/>
    </xf>
    <xf numFmtId="4" fontId="25" fillId="33" borderId="28" xfId="38" applyNumberFormat="1" applyFont="1" applyFill="1" applyBorder="1" applyAlignment="1">
      <alignment horizontal="center" wrapText="1"/>
    </xf>
    <xf numFmtId="4" fontId="25" fillId="33" borderId="29" xfId="38" applyNumberFormat="1" applyFont="1" applyFill="1" applyBorder="1" applyAlignment="1">
      <alignment horizontal="center" wrapText="1"/>
    </xf>
    <xf numFmtId="4" fontId="25" fillId="33" borderId="30" xfId="38" applyNumberFormat="1" applyFont="1" applyFill="1" applyBorder="1" applyAlignment="1">
      <alignment horizontal="center" wrapText="1"/>
    </xf>
    <xf numFmtId="4" fontId="25" fillId="33" borderId="31" xfId="38" applyNumberFormat="1" applyFont="1" applyFill="1" applyBorder="1" applyAlignment="1">
      <alignment horizontal="center" wrapText="1"/>
    </xf>
    <xf numFmtId="4" fontId="25" fillId="0" borderId="32" xfId="38" applyNumberFormat="1" applyFont="1" applyBorder="1" applyAlignment="1">
      <alignment horizontal="center" wrapText="1"/>
    </xf>
    <xf numFmtId="4" fontId="25" fillId="0" borderId="30" xfId="38" applyNumberFormat="1" applyFont="1" applyBorder="1" applyAlignment="1">
      <alignment horizontal="center" wrapText="1"/>
    </xf>
    <xf numFmtId="167" fontId="25" fillId="34" borderId="27" xfId="38" applyNumberFormat="1" applyFont="1" applyFill="1" applyBorder="1" applyAlignment="1">
      <alignment horizontal="center" wrapText="1"/>
    </xf>
    <xf numFmtId="4" fontId="25" fillId="34" borderId="27" xfId="38" applyNumberFormat="1" applyFont="1" applyFill="1" applyBorder="1" applyAlignment="1">
      <alignment horizontal="center" wrapText="1"/>
    </xf>
    <xf numFmtId="4" fontId="25" fillId="34" borderId="28" xfId="38" applyNumberFormat="1" applyFont="1" applyFill="1" applyBorder="1" applyAlignment="1">
      <alignment horizontal="center" wrapText="1"/>
    </xf>
    <xf numFmtId="4" fontId="25" fillId="34" borderId="29" xfId="38" applyNumberFormat="1" applyFont="1" applyFill="1" applyBorder="1" applyAlignment="1">
      <alignment horizontal="center" wrapText="1"/>
    </xf>
    <xf numFmtId="4" fontId="25" fillId="34" borderId="30" xfId="38" applyNumberFormat="1" applyFont="1" applyFill="1" applyBorder="1" applyAlignment="1">
      <alignment horizontal="center" wrapText="1"/>
    </xf>
    <xf numFmtId="4" fontId="25" fillId="34" borderId="31" xfId="38" applyNumberFormat="1" applyFont="1" applyFill="1" applyBorder="1" applyAlignment="1">
      <alignment horizontal="center" wrapText="1"/>
    </xf>
    <xf numFmtId="4" fontId="25" fillId="34" borderId="32" xfId="38" applyNumberFormat="1" applyFont="1" applyFill="1" applyBorder="1" applyAlignment="1">
      <alignment horizontal="center" wrapText="1"/>
    </xf>
    <xf numFmtId="4" fontId="25" fillId="33" borderId="33" xfId="38" applyNumberFormat="1" applyFont="1" applyFill="1" applyBorder="1" applyAlignment="1">
      <alignment horizontal="center" wrapText="1"/>
    </xf>
    <xf numFmtId="4" fontId="25" fillId="33" borderId="34" xfId="38" applyNumberFormat="1" applyFont="1" applyFill="1" applyBorder="1" applyAlignment="1">
      <alignment horizontal="center" wrapText="1"/>
    </xf>
    <xf numFmtId="4" fontId="25" fillId="33" borderId="35" xfId="38" applyNumberFormat="1" applyFont="1" applyFill="1" applyBorder="1" applyAlignment="1">
      <alignment horizontal="center" wrapText="1"/>
    </xf>
    <xf numFmtId="4" fontId="25" fillId="33" borderId="36" xfId="38" applyNumberFormat="1" applyFont="1" applyFill="1" applyBorder="1" applyAlignment="1">
      <alignment horizontal="center" wrapText="1"/>
    </xf>
    <xf numFmtId="4" fontId="25" fillId="33" borderId="37" xfId="38" applyNumberFormat="1" applyFont="1" applyFill="1" applyBorder="1" applyAlignment="1">
      <alignment horizontal="center" wrapText="1"/>
    </xf>
    <xf numFmtId="4" fontId="24" fillId="33" borderId="13" xfId="38" applyNumberFormat="1" applyFont="1" applyFill="1" applyBorder="1" applyAlignment="1">
      <alignment horizontal="center"/>
    </xf>
    <xf numFmtId="2" fontId="25" fillId="33" borderId="13" xfId="38" applyNumberFormat="1" applyFont="1" applyFill="1" applyBorder="1" applyAlignment="1">
      <alignment horizontal="center"/>
    </xf>
    <xf numFmtId="2" fontId="25" fillId="33" borderId="38" xfId="38" applyNumberFormat="1" applyFont="1" applyFill="1" applyBorder="1" applyAlignment="1">
      <alignment horizontal="center"/>
    </xf>
    <xf numFmtId="4" fontId="25" fillId="33" borderId="0" xfId="38" applyNumberFormat="1" applyFont="1" applyFill="1"/>
    <xf numFmtId="0" fontId="25" fillId="34" borderId="0" xfId="38" applyFont="1" applyFill="1"/>
    <xf numFmtId="4" fontId="25" fillId="34" borderId="33" xfId="38" applyNumberFormat="1" applyFont="1" applyFill="1" applyBorder="1" applyAlignment="1">
      <alignment horizontal="center" wrapText="1"/>
    </xf>
    <xf numFmtId="167" fontId="25" fillId="33" borderId="34" xfId="38" applyNumberFormat="1" applyFont="1" applyFill="1" applyBorder="1" applyAlignment="1">
      <alignment horizontal="center" wrapText="1"/>
    </xf>
    <xf numFmtId="168" fontId="25" fillId="33" borderId="13" xfId="38" applyNumberFormat="1" applyFont="1" applyFill="1" applyBorder="1" applyAlignment="1">
      <alignment horizontal="center"/>
    </xf>
    <xf numFmtId="2" fontId="25" fillId="33" borderId="0" xfId="38" applyNumberFormat="1" applyFont="1" applyFill="1"/>
    <xf numFmtId="4" fontId="26" fillId="0" borderId="21" xfId="38" applyNumberFormat="1" applyFont="1" applyBorder="1" applyAlignment="1">
      <alignment horizontal="center"/>
    </xf>
    <xf numFmtId="0" fontId="25" fillId="0" borderId="21" xfId="38" applyFont="1" applyBorder="1" applyAlignment="1">
      <alignment horizontal="center"/>
    </xf>
    <xf numFmtId="4" fontId="26" fillId="0" borderId="27" xfId="38" applyNumberFormat="1" applyFont="1" applyBorder="1" applyAlignment="1">
      <alignment horizontal="center"/>
    </xf>
    <xf numFmtId="0" fontId="25" fillId="0" borderId="27" xfId="38" applyFont="1" applyBorder="1" applyAlignment="1">
      <alignment horizontal="center"/>
    </xf>
    <xf numFmtId="4" fontId="26" fillId="34" borderId="27" xfId="38" applyNumberFormat="1" applyFont="1" applyFill="1" applyBorder="1" applyAlignment="1">
      <alignment horizontal="center"/>
    </xf>
    <xf numFmtId="0" fontId="25" fillId="34" borderId="27" xfId="38" applyFont="1" applyFill="1" applyBorder="1" applyAlignment="1">
      <alignment horizontal="center"/>
    </xf>
    <xf numFmtId="4" fontId="26" fillId="33" borderId="27" xfId="38" applyNumberFormat="1" applyFont="1" applyFill="1" applyBorder="1" applyAlignment="1">
      <alignment horizontal="center"/>
    </xf>
    <xf numFmtId="0" fontId="25" fillId="33" borderId="42" xfId="38" applyFont="1" applyFill="1" applyBorder="1"/>
    <xf numFmtId="0" fontId="25" fillId="33" borderId="21" xfId="38" applyFont="1" applyFill="1" applyBorder="1"/>
    <xf numFmtId="4" fontId="26" fillId="33" borderId="34" xfId="38" applyNumberFormat="1" applyFont="1" applyFill="1" applyBorder="1" applyAlignment="1">
      <alignment horizontal="center"/>
    </xf>
    <xf numFmtId="4" fontId="27" fillId="33" borderId="13" xfId="38" applyNumberFormat="1" applyFont="1" applyFill="1" applyBorder="1" applyAlignment="1">
      <alignment horizontal="center"/>
    </xf>
    <xf numFmtId="0" fontId="25" fillId="33" borderId="13" xfId="38" applyFont="1" applyFill="1" applyBorder="1"/>
    <xf numFmtId="0" fontId="28" fillId="0" borderId="0" xfId="38" applyFont="1"/>
    <xf numFmtId="0" fontId="17" fillId="0" borderId="0" xfId="38" applyFont="1" applyAlignment="1">
      <alignment horizontal="center"/>
    </xf>
    <xf numFmtId="1" fontId="1" fillId="0" borderId="0" xfId="38" applyNumberFormat="1" applyFont="1"/>
    <xf numFmtId="4" fontId="1" fillId="0" borderId="0" xfId="38" applyNumberFormat="1" applyFont="1" applyAlignment="1">
      <alignment horizontal="center" vertical="center"/>
    </xf>
    <xf numFmtId="0" fontId="6" fillId="0" borderId="0" xfId="38" applyFont="1"/>
    <xf numFmtId="169" fontId="1" fillId="0" borderId="0" xfId="38" applyNumberFormat="1" applyFont="1" applyAlignment="1">
      <alignment horizontal="center" vertical="center"/>
    </xf>
    <xf numFmtId="0" fontId="1" fillId="0" borderId="0" xfId="38" applyFont="1" applyAlignment="1">
      <alignment horizontal="right"/>
    </xf>
    <xf numFmtId="0" fontId="1" fillId="0" borderId="43" xfId="38" applyFont="1" applyBorder="1" applyAlignment="1">
      <alignment horizontal="center" vertical="center"/>
    </xf>
    <xf numFmtId="0" fontId="1" fillId="0" borderId="44" xfId="38" applyFont="1" applyBorder="1" applyAlignment="1">
      <alignment horizontal="center" vertical="center"/>
    </xf>
    <xf numFmtId="4" fontId="1" fillId="0" borderId="43" xfId="38" applyNumberFormat="1" applyFont="1" applyBorder="1" applyAlignment="1">
      <alignment horizontal="center" vertical="center"/>
    </xf>
    <xf numFmtId="0" fontId="1" fillId="0" borderId="46" xfId="38" applyFont="1" applyBorder="1" applyAlignment="1">
      <alignment horizontal="center" vertical="center"/>
    </xf>
    <xf numFmtId="0" fontId="1" fillId="0" borderId="47" xfId="38" applyFont="1" applyBorder="1" applyAlignment="1">
      <alignment horizontal="center" vertical="center"/>
    </xf>
    <xf numFmtId="2" fontId="1" fillId="0" borderId="0" xfId="38" applyNumberFormat="1" applyFont="1"/>
    <xf numFmtId="0" fontId="1" fillId="0" borderId="44" xfId="38" applyFont="1" applyBorder="1" applyAlignment="1">
      <alignment horizontal="center"/>
    </xf>
    <xf numFmtId="0" fontId="1" fillId="0" borderId="0" xfId="38" applyFont="1" applyAlignment="1">
      <alignment horizontal="right" vertical="center"/>
    </xf>
    <xf numFmtId="2" fontId="1" fillId="0" borderId="0" xfId="38" applyNumberFormat="1" applyFont="1" applyAlignment="1">
      <alignment horizontal="center" vertical="center"/>
    </xf>
    <xf numFmtId="0" fontId="1" fillId="0" borderId="0" xfId="38" applyFont="1" applyAlignment="1">
      <alignment horizontal="center"/>
    </xf>
    <xf numFmtId="0" fontId="1" fillId="0" borderId="0" xfId="38" applyFont="1" applyAlignment="1">
      <alignment horizontal="center" vertical="center"/>
    </xf>
    <xf numFmtId="170" fontId="1" fillId="0" borderId="43" xfId="38" applyNumberFormat="1" applyFont="1" applyBorder="1" applyAlignment="1">
      <alignment horizontal="center" vertical="center"/>
    </xf>
    <xf numFmtId="170" fontId="1" fillId="0" borderId="0" xfId="38" applyNumberFormat="1" applyFont="1"/>
    <xf numFmtId="170" fontId="1" fillId="0" borderId="0" xfId="38" applyNumberFormat="1" applyFont="1" applyAlignment="1">
      <alignment horizontal="center" vertical="center"/>
    </xf>
    <xf numFmtId="171" fontId="1" fillId="0" borderId="0" xfId="38" applyNumberFormat="1" applyFont="1"/>
    <xf numFmtId="171" fontId="1" fillId="0" borderId="0" xfId="38" applyNumberFormat="1" applyFont="1" applyAlignment="1">
      <alignment horizontal="center" vertical="center"/>
    </xf>
    <xf numFmtId="171" fontId="1" fillId="0" borderId="43" xfId="38" applyNumberFormat="1" applyFont="1" applyBorder="1" applyAlignment="1">
      <alignment horizontal="center" vertical="center"/>
    </xf>
    <xf numFmtId="1" fontId="6" fillId="0" borderId="0" xfId="38" applyNumberFormat="1" applyFont="1"/>
    <xf numFmtId="4" fontId="6" fillId="0" borderId="0" xfId="38" applyNumberFormat="1" applyFont="1" applyAlignment="1">
      <alignment horizontal="center" vertical="center"/>
    </xf>
    <xf numFmtId="0" fontId="6" fillId="0" borderId="0" xfId="38" applyFont="1" applyAlignment="1">
      <alignment horizontal="center" vertical="center"/>
    </xf>
    <xf numFmtId="0" fontId="6" fillId="0" borderId="0" xfId="38" applyFont="1" applyAlignment="1">
      <alignment horizontal="right"/>
    </xf>
    <xf numFmtId="170" fontId="6" fillId="0" borderId="43" xfId="38" applyNumberFormat="1" applyFont="1" applyBorder="1" applyAlignment="1">
      <alignment horizontal="center" vertical="center"/>
    </xf>
    <xf numFmtId="0" fontId="6" fillId="0" borderId="44" xfId="38" applyFont="1" applyBorder="1" applyAlignment="1">
      <alignment horizontal="center" vertical="center"/>
    </xf>
    <xf numFmtId="4" fontId="6" fillId="0" borderId="43" xfId="38" applyNumberFormat="1" applyFont="1" applyBorder="1" applyAlignment="1">
      <alignment horizontal="center" vertical="center"/>
    </xf>
    <xf numFmtId="0" fontId="6" fillId="0" borderId="43" xfId="38" applyFont="1" applyBorder="1" applyAlignment="1">
      <alignment horizontal="center" vertical="center"/>
    </xf>
    <xf numFmtId="0" fontId="6" fillId="0" borderId="46" xfId="38" applyFont="1" applyBorder="1" applyAlignment="1">
      <alignment horizontal="center" vertical="center"/>
    </xf>
    <xf numFmtId="2" fontId="6" fillId="0" borderId="0" xfId="38" applyNumberFormat="1" applyFont="1"/>
    <xf numFmtId="0" fontId="6" fillId="0" borderId="44" xfId="38" applyFont="1" applyBorder="1" applyAlignment="1">
      <alignment horizontal="center"/>
    </xf>
    <xf numFmtId="0" fontId="6" fillId="0" borderId="0" xfId="38" applyFont="1" applyAlignment="1">
      <alignment horizontal="right" vertical="center"/>
    </xf>
    <xf numFmtId="2" fontId="6" fillId="0" borderId="0" xfId="38" applyNumberFormat="1" applyFont="1" applyAlignment="1">
      <alignment horizontal="right" vertical="center"/>
    </xf>
    <xf numFmtId="0" fontId="6" fillId="0" borderId="0" xfId="38" applyFont="1" applyAlignment="1">
      <alignment horizontal="center"/>
    </xf>
    <xf numFmtId="172" fontId="6" fillId="0" borderId="43" xfId="38" applyNumberFormat="1" applyFont="1" applyBorder="1" applyAlignment="1">
      <alignment horizontal="center" vertical="center"/>
    </xf>
    <xf numFmtId="2" fontId="6" fillId="0" borderId="0" xfId="38" applyNumberFormat="1" applyFont="1" applyAlignment="1">
      <alignment horizontal="center" vertical="center"/>
    </xf>
    <xf numFmtId="1" fontId="6" fillId="0" borderId="43" xfId="38" applyNumberFormat="1" applyFont="1" applyBorder="1" applyAlignment="1">
      <alignment horizontal="center" vertical="center"/>
    </xf>
    <xf numFmtId="0" fontId="28" fillId="0" borderId="0" xfId="38" applyFont="1" applyAlignment="1">
      <alignment horizontal="center"/>
    </xf>
    <xf numFmtId="4" fontId="6" fillId="0" borderId="0" xfId="38" applyNumberFormat="1" applyFont="1"/>
    <xf numFmtId="170" fontId="6" fillId="0" borderId="0" xfId="38" applyNumberFormat="1" applyFont="1" applyAlignment="1">
      <alignment horizontal="center" vertical="center"/>
    </xf>
    <xf numFmtId="0" fontId="6" fillId="0" borderId="0" xfId="38" applyFont="1" applyAlignment="1">
      <alignment vertical="center"/>
    </xf>
    <xf numFmtId="0" fontId="28" fillId="0" borderId="48" xfId="38" applyFont="1" applyBorder="1" applyAlignment="1">
      <alignment horizontal="center" vertical="center"/>
    </xf>
    <xf numFmtId="0" fontId="28" fillId="0" borderId="49" xfId="38" applyFont="1" applyBorder="1" applyAlignment="1">
      <alignment horizontal="center" vertical="center" wrapText="1"/>
    </xf>
    <xf numFmtId="0" fontId="28" fillId="0" borderId="20" xfId="38" applyFont="1" applyBorder="1" applyAlignment="1">
      <alignment horizontal="center" vertical="center" wrapText="1"/>
    </xf>
    <xf numFmtId="0" fontId="6" fillId="0" borderId="50" xfId="38" applyFont="1" applyBorder="1" applyAlignment="1">
      <alignment horizontal="center" vertical="center"/>
    </xf>
    <xf numFmtId="0" fontId="6" fillId="0" borderId="45" xfId="38" applyFont="1" applyBorder="1" applyAlignment="1">
      <alignment horizontal="center" vertical="center"/>
    </xf>
    <xf numFmtId="4" fontId="6" fillId="0" borderId="51" xfId="38" applyNumberFormat="1" applyFont="1" applyBorder="1" applyAlignment="1">
      <alignment horizontal="center" vertical="center"/>
    </xf>
    <xf numFmtId="4" fontId="6" fillId="0" borderId="0" xfId="38" applyNumberFormat="1" applyFont="1" applyAlignment="1">
      <alignment vertical="center"/>
    </xf>
    <xf numFmtId="49" fontId="6" fillId="0" borderId="0" xfId="38" applyNumberFormat="1" applyFont="1" applyAlignment="1">
      <alignment horizontal="left" vertical="center"/>
    </xf>
    <xf numFmtId="0" fontId="6" fillId="0" borderId="29" xfId="38" applyFont="1" applyBorder="1" applyAlignment="1">
      <alignment horizontal="center" vertical="center"/>
    </xf>
    <xf numFmtId="0" fontId="6" fillId="0" borderId="32" xfId="38" applyFont="1" applyBorder="1" applyAlignment="1">
      <alignment horizontal="center" vertical="center"/>
    </xf>
    <xf numFmtId="0" fontId="6" fillId="0" borderId="52" xfId="38" applyFont="1" applyBorder="1" applyAlignment="1">
      <alignment horizontal="center" vertical="center"/>
    </xf>
    <xf numFmtId="4" fontId="6" fillId="0" borderId="52" xfId="38" applyNumberFormat="1" applyFont="1" applyBorder="1" applyAlignment="1">
      <alignment horizontal="center" vertical="center"/>
    </xf>
    <xf numFmtId="4" fontId="6" fillId="0" borderId="30" xfId="38" applyNumberFormat="1" applyFont="1" applyBorder="1" applyAlignment="1">
      <alignment horizontal="center" vertical="center"/>
    </xf>
    <xf numFmtId="49" fontId="28" fillId="0" borderId="0" xfId="38" applyNumberFormat="1" applyFont="1" applyAlignment="1">
      <alignment vertical="center"/>
    </xf>
    <xf numFmtId="49" fontId="6" fillId="0" borderId="53" xfId="38" applyNumberFormat="1" applyFont="1" applyBorder="1" applyAlignment="1">
      <alignment horizontal="right" vertical="center"/>
    </xf>
    <xf numFmtId="49" fontId="6" fillId="0" borderId="0" xfId="38" applyNumberFormat="1" applyFont="1" applyAlignment="1">
      <alignment vertical="center"/>
    </xf>
    <xf numFmtId="4" fontId="6" fillId="0" borderId="30" xfId="38" applyNumberFormat="1" applyFont="1" applyBorder="1" applyAlignment="1">
      <alignment horizontal="center"/>
    </xf>
    <xf numFmtId="49" fontId="6" fillId="0" borderId="0" xfId="38" applyNumberFormat="1" applyFont="1" applyAlignment="1">
      <alignment horizontal="center" vertical="center"/>
    </xf>
    <xf numFmtId="0" fontId="6" fillId="0" borderId="53" xfId="38" applyFont="1" applyBorder="1" applyAlignment="1">
      <alignment horizontal="right" vertical="center"/>
    </xf>
    <xf numFmtId="11" fontId="6" fillId="0" borderId="52" xfId="38" applyNumberFormat="1" applyFont="1" applyBorder="1" applyAlignment="1">
      <alignment horizontal="center" vertical="center"/>
    </xf>
    <xf numFmtId="3" fontId="6" fillId="0" borderId="52" xfId="38" applyNumberFormat="1" applyFont="1" applyBorder="1" applyAlignment="1">
      <alignment horizontal="center" vertical="center"/>
    </xf>
    <xf numFmtId="3" fontId="6" fillId="0" borderId="30" xfId="38" applyNumberFormat="1" applyFont="1" applyBorder="1" applyAlignment="1">
      <alignment horizontal="center" vertical="center"/>
    </xf>
    <xf numFmtId="0" fontId="6" fillId="0" borderId="54" xfId="38" applyFont="1" applyBorder="1" applyAlignment="1">
      <alignment horizontal="center" vertical="center"/>
    </xf>
    <xf numFmtId="0" fontId="6" fillId="0" borderId="55" xfId="38" applyFont="1" applyBorder="1" applyAlignment="1">
      <alignment horizontal="center" vertical="center"/>
    </xf>
    <xf numFmtId="0" fontId="6" fillId="0" borderId="56" xfId="38" applyFont="1" applyBorder="1" applyAlignment="1">
      <alignment horizontal="center" vertical="center"/>
    </xf>
    <xf numFmtId="4" fontId="6" fillId="0" borderId="56" xfId="38" applyNumberFormat="1" applyFont="1" applyBorder="1" applyAlignment="1">
      <alignment horizontal="center" vertical="center"/>
    </xf>
    <xf numFmtId="4" fontId="6" fillId="0" borderId="57" xfId="38" applyNumberFormat="1" applyFont="1" applyBorder="1" applyAlignment="1">
      <alignment horizontal="center" vertical="center"/>
    </xf>
    <xf numFmtId="49" fontId="6" fillId="0" borderId="58" xfId="38" applyNumberFormat="1" applyFont="1" applyBorder="1" applyAlignment="1">
      <alignment vertical="center"/>
    </xf>
    <xf numFmtId="0" fontId="6" fillId="0" borderId="0" xfId="38" applyFont="1" applyAlignment="1">
      <alignment horizontal="right" wrapText="1"/>
    </xf>
    <xf numFmtId="39" fontId="6" fillId="0" borderId="0" xfId="38" applyNumberFormat="1" applyFont="1" applyAlignment="1">
      <alignment wrapText="1"/>
    </xf>
    <xf numFmtId="49" fontId="6" fillId="0" borderId="0" xfId="38" applyNumberFormat="1" applyFont="1" applyAlignment="1">
      <alignment horizontal="left"/>
    </xf>
    <xf numFmtId="39" fontId="6" fillId="0" borderId="0" xfId="38" applyNumberFormat="1" applyFont="1" applyAlignment="1">
      <alignment horizontal="right" vertical="center"/>
    </xf>
    <xf numFmtId="4" fontId="1" fillId="0" borderId="0" xfId="38" applyNumberFormat="1" applyFont="1"/>
    <xf numFmtId="49" fontId="6" fillId="0" borderId="0" xfId="38" applyNumberFormat="1" applyFont="1" applyAlignment="1">
      <alignment horizontal="right" vertical="center"/>
    </xf>
    <xf numFmtId="4" fontId="6" fillId="0" borderId="43" xfId="38" applyNumberFormat="1" applyFont="1" applyBorder="1" applyAlignment="1">
      <alignment horizontal="right" vertical="center"/>
    </xf>
    <xf numFmtId="4" fontId="6" fillId="0" borderId="44" xfId="38" applyNumberFormat="1" applyFont="1" applyBorder="1" applyAlignment="1">
      <alignment horizontal="right" vertical="center"/>
    </xf>
    <xf numFmtId="0" fontId="6" fillId="0" borderId="59" xfId="38" applyFont="1" applyBorder="1" applyAlignment="1">
      <alignment horizontal="left" vertical="center"/>
    </xf>
    <xf numFmtId="0" fontId="6" fillId="0" borderId="44" xfId="38" applyFont="1" applyBorder="1" applyAlignment="1">
      <alignment horizontal="right" vertical="center"/>
    </xf>
    <xf numFmtId="0" fontId="6" fillId="0" borderId="44" xfId="38" applyFont="1" applyBorder="1" applyAlignment="1">
      <alignment horizontal="left" vertical="center"/>
    </xf>
    <xf numFmtId="0" fontId="6" fillId="0" borderId="44" xfId="38" applyFont="1" applyBorder="1" applyAlignment="1">
      <alignment vertical="center"/>
    </xf>
    <xf numFmtId="0" fontId="6" fillId="0" borderId="59" xfId="38" applyFont="1" applyBorder="1" applyAlignment="1">
      <alignment vertical="center"/>
    </xf>
    <xf numFmtId="173" fontId="6" fillId="0" borderId="0" xfId="38" applyNumberFormat="1" applyFont="1" applyAlignment="1">
      <alignment horizontal="center" vertical="center"/>
    </xf>
    <xf numFmtId="3" fontId="6" fillId="0" borderId="44" xfId="38" applyNumberFormat="1" applyFont="1" applyBorder="1" applyAlignment="1">
      <alignment horizontal="right" vertical="center"/>
    </xf>
    <xf numFmtId="0" fontId="6" fillId="0" borderId="47" xfId="38" applyFont="1" applyBorder="1" applyAlignment="1">
      <alignment horizontal="left" vertical="center"/>
    </xf>
    <xf numFmtId="0" fontId="6" fillId="0" borderId="0" xfId="38" applyFont="1" applyAlignment="1">
      <alignment horizontal="left" vertical="center"/>
    </xf>
    <xf numFmtId="0" fontId="6" fillId="0" borderId="47" xfId="38" applyFont="1" applyBorder="1" applyAlignment="1">
      <alignment vertical="center"/>
    </xf>
    <xf numFmtId="3" fontId="6" fillId="0" borderId="0" xfId="38" applyNumberFormat="1" applyFont="1" applyAlignment="1">
      <alignment vertical="center"/>
    </xf>
    <xf numFmtId="3" fontId="6" fillId="0" borderId="46" xfId="38" applyNumberFormat="1" applyFont="1" applyBorder="1" applyAlignment="1">
      <alignment horizontal="right" vertical="center"/>
    </xf>
    <xf numFmtId="4" fontId="6" fillId="0" borderId="0" xfId="38" applyNumberFormat="1" applyFont="1" applyAlignment="1">
      <alignment horizontal="right" vertical="center"/>
    </xf>
    <xf numFmtId="164" fontId="1" fillId="0" borderId="0" xfId="38" applyNumberFormat="1" applyFont="1"/>
    <xf numFmtId="164" fontId="6" fillId="0" borderId="0" xfId="38" applyNumberFormat="1" applyFont="1" applyAlignment="1">
      <alignment vertical="center"/>
    </xf>
    <xf numFmtId="0" fontId="6" fillId="0" borderId="43" xfId="38" applyFont="1" applyBorder="1" applyAlignment="1">
      <alignment vertical="center"/>
    </xf>
    <xf numFmtId="0" fontId="6" fillId="0" borderId="12" xfId="38" applyFont="1" applyBorder="1" applyAlignment="1">
      <alignment horizontal="left" vertical="center"/>
    </xf>
    <xf numFmtId="3" fontId="6" fillId="0" borderId="0" xfId="38" applyNumberFormat="1" applyFont="1" applyAlignment="1">
      <alignment horizontal="right" vertical="center"/>
    </xf>
    <xf numFmtId="3" fontId="6" fillId="0" borderId="46" xfId="38" applyNumberFormat="1" applyFont="1" applyBorder="1" applyAlignment="1">
      <alignment vertical="center"/>
    </xf>
    <xf numFmtId="11" fontId="6" fillId="0" borderId="44" xfId="38" applyNumberFormat="1" applyFont="1" applyBorder="1" applyAlignment="1">
      <alignment vertical="center"/>
    </xf>
    <xf numFmtId="170" fontId="6" fillId="0" borderId="44" xfId="38" applyNumberFormat="1" applyFont="1" applyBorder="1" applyAlignment="1">
      <alignment horizontal="right" vertical="center"/>
    </xf>
    <xf numFmtId="168" fontId="6" fillId="0" borderId="44" xfId="38" applyNumberFormat="1" applyFont="1" applyBorder="1" applyAlignment="1">
      <alignment horizontal="right" vertical="center"/>
    </xf>
    <xf numFmtId="0" fontId="24" fillId="33" borderId="0" xfId="38" applyFont="1" applyFill="1" applyAlignment="1">
      <alignment horizontal="center"/>
    </xf>
    <xf numFmtId="4" fontId="29" fillId="0" borderId="21" xfId="38" applyNumberFormat="1" applyFont="1" applyBorder="1" applyAlignment="1">
      <alignment horizontal="center" wrapText="1"/>
    </xf>
    <xf numFmtId="164" fontId="25" fillId="33" borderId="21" xfId="38" applyNumberFormat="1" applyFont="1" applyFill="1" applyBorder="1"/>
    <xf numFmtId="164" fontId="25" fillId="33" borderId="22" xfId="38" applyNumberFormat="1" applyFont="1" applyFill="1" applyBorder="1"/>
    <xf numFmtId="4" fontId="25" fillId="33" borderId="61" xfId="38" applyNumberFormat="1" applyFont="1" applyFill="1" applyBorder="1" applyAlignment="1">
      <alignment horizontal="center" wrapText="1"/>
    </xf>
    <xf numFmtId="4" fontId="25" fillId="33" borderId="0" xfId="38" applyNumberFormat="1" applyFont="1" applyFill="1" applyAlignment="1">
      <alignment horizontal="center" wrapText="1"/>
    </xf>
    <xf numFmtId="4" fontId="29" fillId="0" borderId="27" xfId="38" applyNumberFormat="1" applyFont="1" applyBorder="1" applyAlignment="1">
      <alignment horizontal="center" wrapText="1"/>
    </xf>
    <xf numFmtId="164" fontId="25" fillId="33" borderId="27" xfId="38" applyNumberFormat="1" applyFont="1" applyFill="1" applyBorder="1"/>
    <xf numFmtId="164" fontId="25" fillId="33" borderId="28" xfId="38" applyNumberFormat="1" applyFont="1" applyFill="1" applyBorder="1"/>
    <xf numFmtId="4" fontId="29" fillId="0" borderId="62" xfId="38" applyNumberFormat="1" applyFont="1" applyBorder="1" applyAlignment="1">
      <alignment horizontal="center" wrapText="1"/>
    </xf>
    <xf numFmtId="4" fontId="29" fillId="34" borderId="27" xfId="38" applyNumberFormat="1" applyFont="1" applyFill="1" applyBorder="1" applyAlignment="1">
      <alignment horizontal="center" wrapText="1"/>
    </xf>
    <xf numFmtId="164" fontId="25" fillId="34" borderId="27" xfId="38" applyNumberFormat="1" applyFont="1" applyFill="1" applyBorder="1"/>
    <xf numFmtId="164" fontId="25" fillId="34" borderId="28" xfId="38" applyNumberFormat="1" applyFont="1" applyFill="1" applyBorder="1"/>
    <xf numFmtId="4" fontId="25" fillId="34" borderId="63" xfId="38" applyNumberFormat="1" applyFont="1" applyFill="1" applyBorder="1" applyAlignment="1">
      <alignment horizontal="center" wrapText="1"/>
    </xf>
    <xf numFmtId="4" fontId="25" fillId="34" borderId="61" xfId="38" applyNumberFormat="1" applyFont="1" applyFill="1" applyBorder="1" applyAlignment="1">
      <alignment horizontal="center" wrapText="1"/>
    </xf>
    <xf numFmtId="4" fontId="24" fillId="33" borderId="0" xfId="38" applyNumberFormat="1" applyFont="1" applyFill="1"/>
    <xf numFmtId="0" fontId="24" fillId="33" borderId="0" xfId="38" applyFont="1" applyFill="1"/>
    <xf numFmtId="4" fontId="25" fillId="33" borderId="63" xfId="38" applyNumberFormat="1" applyFont="1" applyFill="1" applyBorder="1" applyAlignment="1">
      <alignment horizontal="center" wrapText="1"/>
    </xf>
    <xf numFmtId="4" fontId="29" fillId="0" borderId="34" xfId="38" applyNumberFormat="1" applyFont="1" applyBorder="1" applyAlignment="1">
      <alignment horizontal="center" wrapText="1"/>
    </xf>
    <xf numFmtId="164" fontId="25" fillId="33" borderId="34" xfId="38" applyNumberFormat="1" applyFont="1" applyFill="1" applyBorder="1"/>
    <xf numFmtId="164" fontId="25" fillId="33" borderId="64" xfId="38" applyNumberFormat="1" applyFont="1" applyFill="1" applyBorder="1"/>
    <xf numFmtId="4" fontId="24" fillId="33" borderId="14" xfId="38" applyNumberFormat="1" applyFont="1" applyFill="1" applyBorder="1" applyAlignment="1">
      <alignment horizontal="center"/>
    </xf>
    <xf numFmtId="4" fontId="25" fillId="33" borderId="13" xfId="38" applyNumberFormat="1" applyFont="1" applyFill="1" applyBorder="1" applyAlignment="1">
      <alignment horizontal="center"/>
    </xf>
    <xf numFmtId="164" fontId="25" fillId="33" borderId="0" xfId="38" applyNumberFormat="1" applyFont="1" applyFill="1"/>
    <xf numFmtId="164" fontId="25" fillId="33" borderId="21" xfId="38" applyNumberFormat="1" applyFont="1" applyFill="1" applyBorder="1" applyAlignment="1">
      <alignment horizontal="center"/>
    </xf>
    <xf numFmtId="174" fontId="29" fillId="0" borderId="21" xfId="38" applyNumberFormat="1" applyFont="1" applyBorder="1" applyAlignment="1">
      <alignment horizontal="center" wrapText="1"/>
    </xf>
    <xf numFmtId="171" fontId="25" fillId="0" borderId="21" xfId="38" applyNumberFormat="1" applyFont="1" applyBorder="1" applyAlignment="1">
      <alignment horizontal="center"/>
    </xf>
    <xf numFmtId="164" fontId="25" fillId="33" borderId="27" xfId="38" applyNumberFormat="1" applyFont="1" applyFill="1" applyBorder="1" applyAlignment="1">
      <alignment horizontal="center"/>
    </xf>
    <xf numFmtId="174" fontId="29" fillId="0" borderId="27" xfId="38" applyNumberFormat="1" applyFont="1" applyBorder="1" applyAlignment="1">
      <alignment horizontal="center" wrapText="1"/>
    </xf>
    <xf numFmtId="171" fontId="25" fillId="0" borderId="27" xfId="38" applyNumberFormat="1" applyFont="1" applyBorder="1" applyAlignment="1">
      <alignment horizontal="center"/>
    </xf>
    <xf numFmtId="164" fontId="25" fillId="34" borderId="27" xfId="38" applyNumberFormat="1" applyFont="1" applyFill="1" applyBorder="1" applyAlignment="1">
      <alignment horizontal="center"/>
    </xf>
    <xf numFmtId="174" fontId="29" fillId="34" borderId="27" xfId="38" applyNumberFormat="1" applyFont="1" applyFill="1" applyBorder="1" applyAlignment="1">
      <alignment horizontal="center" wrapText="1"/>
    </xf>
    <xf numFmtId="171" fontId="25" fillId="34" borderId="27" xfId="38" applyNumberFormat="1" applyFont="1" applyFill="1" applyBorder="1" applyAlignment="1">
      <alignment horizontal="center"/>
    </xf>
    <xf numFmtId="4" fontId="26" fillId="2" borderId="27" xfId="38" applyNumberFormat="1" applyFont="1" applyFill="1" applyBorder="1" applyAlignment="1">
      <alignment horizontal="center"/>
    </xf>
    <xf numFmtId="4" fontId="29" fillId="33" borderId="34" xfId="38" applyNumberFormat="1" applyFont="1" applyFill="1" applyBorder="1" applyAlignment="1">
      <alignment horizontal="center" wrapText="1"/>
    </xf>
    <xf numFmtId="164" fontId="25" fillId="33" borderId="34" xfId="38" applyNumberFormat="1" applyFont="1" applyFill="1" applyBorder="1" applyAlignment="1">
      <alignment horizontal="center"/>
    </xf>
    <xf numFmtId="174" fontId="29" fillId="0" borderId="34" xfId="38" applyNumberFormat="1" applyFont="1" applyBorder="1" applyAlignment="1">
      <alignment horizontal="center" wrapText="1"/>
    </xf>
    <xf numFmtId="4" fontId="26" fillId="2" borderId="34" xfId="38" applyNumberFormat="1" applyFont="1" applyFill="1" applyBorder="1" applyAlignment="1">
      <alignment horizontal="center"/>
    </xf>
    <xf numFmtId="171" fontId="25" fillId="0" borderId="34" xfId="38" applyNumberFormat="1" applyFont="1" applyBorder="1" applyAlignment="1">
      <alignment horizontal="center"/>
    </xf>
    <xf numFmtId="4" fontId="24" fillId="33" borderId="13" xfId="38" applyNumberFormat="1" applyFont="1" applyFill="1" applyBorder="1"/>
    <xf numFmtId="4" fontId="25" fillId="33" borderId="14" xfId="38" applyNumberFormat="1" applyFont="1" applyFill="1" applyBorder="1" applyAlignment="1">
      <alignment horizontal="center"/>
    </xf>
    <xf numFmtId="4" fontId="25" fillId="33" borderId="38" xfId="38" applyNumberFormat="1" applyFont="1" applyFill="1" applyBorder="1" applyAlignment="1">
      <alignment horizontal="center"/>
    </xf>
    <xf numFmtId="0" fontId="6" fillId="0" borderId="0" xfId="38" applyFont="1" applyAlignment="1">
      <alignment horizontal="left"/>
    </xf>
    <xf numFmtId="4" fontId="28" fillId="0" borderId="0" xfId="38" applyNumberFormat="1" applyFont="1"/>
    <xf numFmtId="0" fontId="30" fillId="0" borderId="0" xfId="38" applyFont="1"/>
    <xf numFmtId="0" fontId="6" fillId="0" borderId="59" xfId="38" applyFont="1" applyBorder="1" applyAlignment="1">
      <alignment horizontal="center" vertical="center"/>
    </xf>
    <xf numFmtId="171" fontId="6" fillId="0" borderId="43" xfId="38" applyNumberFormat="1" applyFont="1" applyBorder="1" applyAlignment="1">
      <alignment horizontal="center" vertical="center"/>
    </xf>
    <xf numFmtId="0" fontId="5" fillId="0" borderId="0" xfId="38" applyFont="1"/>
    <xf numFmtId="0" fontId="6" fillId="0" borderId="66" xfId="38" applyFont="1" applyBorder="1" applyAlignment="1">
      <alignment horizontal="center" vertical="center"/>
    </xf>
    <xf numFmtId="0" fontId="6" fillId="0" borderId="67" xfId="38" applyFont="1" applyBorder="1" applyAlignment="1">
      <alignment vertical="center"/>
    </xf>
    <xf numFmtId="2" fontId="6" fillId="0" borderId="43" xfId="38" applyNumberFormat="1" applyFont="1" applyBorder="1" applyAlignment="1">
      <alignment horizontal="center" vertical="center"/>
    </xf>
    <xf numFmtId="0" fontId="6" fillId="0" borderId="46" xfId="38" applyFont="1" applyBorder="1"/>
    <xf numFmtId="171" fontId="6" fillId="0" borderId="45" xfId="38" applyNumberFormat="1" applyFont="1" applyBorder="1" applyAlignment="1">
      <alignment horizontal="center" vertical="center"/>
    </xf>
    <xf numFmtId="171" fontId="6" fillId="0" borderId="44" xfId="38" applyNumberFormat="1" applyFont="1" applyBorder="1" applyAlignment="1">
      <alignment vertical="center"/>
    </xf>
    <xf numFmtId="0" fontId="24" fillId="33" borderId="57" xfId="38" applyFont="1" applyFill="1" applyBorder="1" applyAlignment="1">
      <alignment horizontal="center"/>
    </xf>
    <xf numFmtId="0" fontId="24" fillId="33" borderId="54" xfId="38" applyFont="1" applyFill="1" applyBorder="1" applyAlignment="1">
      <alignment horizontal="center"/>
    </xf>
    <xf numFmtId="164" fontId="25" fillId="0" borderId="26" xfId="38" applyNumberFormat="1" applyFont="1" applyBorder="1"/>
    <xf numFmtId="164" fontId="25" fillId="0" borderId="24" xfId="38" applyNumberFormat="1" applyFont="1" applyBorder="1"/>
    <xf numFmtId="4" fontId="25" fillId="0" borderId="21" xfId="38" applyNumberFormat="1" applyFont="1" applyBorder="1" applyAlignment="1">
      <alignment horizontal="center" wrapText="1"/>
    </xf>
    <xf numFmtId="4" fontId="25" fillId="0" borderId="25" xfId="38" applyNumberFormat="1" applyFont="1" applyBorder="1" applyAlignment="1">
      <alignment horizontal="center" wrapText="1"/>
    </xf>
    <xf numFmtId="164" fontId="25" fillId="0" borderId="32" xfId="38" applyNumberFormat="1" applyFont="1" applyBorder="1"/>
    <xf numFmtId="4" fontId="25" fillId="0" borderId="27" xfId="38" applyNumberFormat="1" applyFont="1" applyBorder="1" applyAlignment="1">
      <alignment horizontal="center" wrapText="1"/>
    </xf>
    <xf numFmtId="4" fontId="25" fillId="0" borderId="31" xfId="38" applyNumberFormat="1" applyFont="1" applyBorder="1" applyAlignment="1">
      <alignment horizontal="center" wrapText="1"/>
    </xf>
    <xf numFmtId="164" fontId="25" fillId="0" borderId="30" xfId="38" applyNumberFormat="1" applyFont="1" applyBorder="1"/>
    <xf numFmtId="164" fontId="25" fillId="34" borderId="32" xfId="38" applyNumberFormat="1" applyFont="1" applyFill="1" applyBorder="1"/>
    <xf numFmtId="164" fontId="25" fillId="34" borderId="30" xfId="38" applyNumberFormat="1" applyFont="1" applyFill="1" applyBorder="1"/>
    <xf numFmtId="164" fontId="25" fillId="0" borderId="69" xfId="38" applyNumberFormat="1" applyFont="1" applyBorder="1"/>
    <xf numFmtId="164" fontId="25" fillId="0" borderId="36" xfId="38" applyNumberFormat="1" applyFont="1" applyBorder="1"/>
    <xf numFmtId="164" fontId="25" fillId="33" borderId="62" xfId="38" applyNumberFormat="1" applyFont="1" applyFill="1" applyBorder="1"/>
    <xf numFmtId="4" fontId="25" fillId="0" borderId="34" xfId="38" applyNumberFormat="1" applyFont="1" applyBorder="1" applyAlignment="1">
      <alignment horizontal="center" wrapText="1"/>
    </xf>
    <xf numFmtId="4" fontId="25" fillId="0" borderId="37" xfId="38" applyNumberFormat="1" applyFont="1" applyBorder="1" applyAlignment="1">
      <alignment horizontal="center" wrapText="1"/>
    </xf>
    <xf numFmtId="4" fontId="24" fillId="33" borderId="17" xfId="38" applyNumberFormat="1" applyFont="1" applyFill="1" applyBorder="1" applyAlignment="1">
      <alignment horizontal="center"/>
    </xf>
    <xf numFmtId="164" fontId="24" fillId="33" borderId="13" xfId="38" applyNumberFormat="1" applyFont="1" applyFill="1" applyBorder="1"/>
    <xf numFmtId="0" fontId="25" fillId="33" borderId="68" xfId="38" applyFont="1" applyFill="1" applyBorder="1" applyAlignment="1">
      <alignment horizontal="center"/>
    </xf>
    <xf numFmtId="2" fontId="25" fillId="33" borderId="58" xfId="38" applyNumberFormat="1" applyFont="1" applyFill="1" applyBorder="1"/>
    <xf numFmtId="2" fontId="25" fillId="33" borderId="58" xfId="38" applyNumberFormat="1" applyFont="1" applyFill="1" applyBorder="1" applyAlignment="1">
      <alignment horizontal="center"/>
    </xf>
    <xf numFmtId="0" fontId="24" fillId="33" borderId="14" xfId="38" applyFont="1" applyFill="1" applyBorder="1"/>
    <xf numFmtId="0" fontId="24" fillId="33" borderId="23" xfId="38" applyFont="1" applyFill="1" applyBorder="1" applyAlignment="1">
      <alignment horizontal="center"/>
    </xf>
    <xf numFmtId="0" fontId="24" fillId="33" borderId="26" xfId="38" applyFont="1" applyFill="1" applyBorder="1" applyAlignment="1">
      <alignment horizontal="center"/>
    </xf>
    <xf numFmtId="0" fontId="24" fillId="33" borderId="70" xfId="38" applyFont="1" applyFill="1" applyBorder="1" applyAlignment="1">
      <alignment horizontal="center"/>
    </xf>
    <xf numFmtId="0" fontId="24" fillId="33" borderId="71" xfId="38" applyFont="1" applyFill="1" applyBorder="1" applyAlignment="1">
      <alignment horizontal="center"/>
    </xf>
    <xf numFmtId="0" fontId="24" fillId="33" borderId="49" xfId="38" applyFont="1" applyFill="1" applyBorder="1" applyAlignment="1">
      <alignment horizontal="center"/>
    </xf>
    <xf numFmtId="4" fontId="1" fillId="0" borderId="72" xfId="38" applyNumberFormat="1" applyFont="1" applyBorder="1" applyAlignment="1">
      <alignment horizontal="center"/>
    </xf>
    <xf numFmtId="4" fontId="1" fillId="33" borderId="26" xfId="38" applyNumberFormat="1" applyFont="1" applyFill="1" applyBorder="1" applyAlignment="1">
      <alignment horizontal="center"/>
    </xf>
    <xf numFmtId="2" fontId="25" fillId="33" borderId="32" xfId="38" applyNumberFormat="1" applyFont="1" applyFill="1" applyBorder="1" applyAlignment="1">
      <alignment horizontal="center"/>
    </xf>
    <xf numFmtId="4" fontId="25" fillId="33" borderId="72" xfId="38" applyNumberFormat="1" applyFont="1" applyFill="1" applyBorder="1" applyAlignment="1">
      <alignment horizontal="center"/>
    </xf>
    <xf numFmtId="4" fontId="1" fillId="33" borderId="24" xfId="38" applyNumberFormat="1" applyFont="1" applyFill="1" applyBorder="1" applyAlignment="1">
      <alignment horizontal="center"/>
    </xf>
    <xf numFmtId="4" fontId="25" fillId="33" borderId="70" xfId="38" applyNumberFormat="1" applyFont="1" applyFill="1" applyBorder="1" applyAlignment="1">
      <alignment horizontal="center" wrapText="1"/>
    </xf>
    <xf numFmtId="4" fontId="1" fillId="0" borderId="73" xfId="38" applyNumberFormat="1" applyFont="1" applyBorder="1" applyAlignment="1">
      <alignment horizontal="center"/>
    </xf>
    <xf numFmtId="4" fontId="1" fillId="33" borderId="32" xfId="38" applyNumberFormat="1" applyFont="1" applyFill="1" applyBorder="1" applyAlignment="1">
      <alignment horizontal="center"/>
    </xf>
    <xf numFmtId="167" fontId="25" fillId="33" borderId="42" xfId="38" applyNumberFormat="1" applyFont="1" applyFill="1" applyBorder="1" applyAlignment="1">
      <alignment horizontal="center" wrapText="1"/>
    </xf>
    <xf numFmtId="4" fontId="25" fillId="33" borderId="73" xfId="38" applyNumberFormat="1" applyFont="1" applyFill="1" applyBorder="1" applyAlignment="1">
      <alignment horizontal="center"/>
    </xf>
    <xf numFmtId="4" fontId="1" fillId="33" borderId="30" xfId="38" applyNumberFormat="1" applyFont="1" applyFill="1" applyBorder="1" applyAlignment="1">
      <alignment horizontal="center"/>
    </xf>
    <xf numFmtId="4" fontId="25" fillId="33" borderId="32" xfId="38" applyNumberFormat="1" applyFont="1" applyFill="1" applyBorder="1" applyAlignment="1">
      <alignment horizontal="center" wrapText="1"/>
    </xf>
    <xf numFmtId="167" fontId="25" fillId="34" borderId="21" xfId="38" applyNumberFormat="1" applyFont="1" applyFill="1" applyBorder="1" applyAlignment="1">
      <alignment horizontal="center" wrapText="1"/>
    </xf>
    <xf numFmtId="4" fontId="1" fillId="34" borderId="73" xfId="38" applyNumberFormat="1" applyFont="1" applyFill="1" applyBorder="1" applyAlignment="1">
      <alignment horizontal="center"/>
    </xf>
    <xf numFmtId="4" fontId="1" fillId="34" borderId="32" xfId="38" applyNumberFormat="1" applyFont="1" applyFill="1" applyBorder="1" applyAlignment="1">
      <alignment horizontal="center"/>
    </xf>
    <xf numFmtId="2" fontId="25" fillId="34" borderId="32" xfId="38" applyNumberFormat="1" applyFont="1" applyFill="1" applyBorder="1" applyAlignment="1">
      <alignment horizontal="center"/>
    </xf>
    <xf numFmtId="167" fontId="25" fillId="34" borderId="42" xfId="38" applyNumberFormat="1" applyFont="1" applyFill="1" applyBorder="1" applyAlignment="1">
      <alignment horizontal="center" wrapText="1"/>
    </xf>
    <xf numFmtId="4" fontId="25" fillId="34" borderId="73" xfId="38" applyNumberFormat="1" applyFont="1" applyFill="1" applyBorder="1" applyAlignment="1">
      <alignment horizontal="center"/>
    </xf>
    <xf numFmtId="4" fontId="1" fillId="34" borderId="30" xfId="38" applyNumberFormat="1" applyFont="1" applyFill="1" applyBorder="1" applyAlignment="1">
      <alignment horizontal="center"/>
    </xf>
    <xf numFmtId="0" fontId="25" fillId="33" borderId="73" xfId="38" applyFont="1" applyFill="1" applyBorder="1" applyAlignment="1">
      <alignment horizontal="center"/>
    </xf>
    <xf numFmtId="2" fontId="25" fillId="33" borderId="30" xfId="38" applyNumberFormat="1" applyFont="1" applyFill="1" applyBorder="1" applyAlignment="1">
      <alignment horizontal="center"/>
    </xf>
    <xf numFmtId="2" fontId="25" fillId="33" borderId="29" xfId="38" applyNumberFormat="1" applyFont="1" applyFill="1" applyBorder="1" applyAlignment="1">
      <alignment horizontal="center"/>
    </xf>
    <xf numFmtId="167" fontId="25" fillId="33" borderId="13" xfId="38" applyNumberFormat="1" applyFont="1" applyFill="1" applyBorder="1" applyAlignment="1">
      <alignment horizontal="center" wrapText="1"/>
    </xf>
    <xf numFmtId="167" fontId="25" fillId="33" borderId="22" xfId="38" applyNumberFormat="1" applyFont="1" applyFill="1" applyBorder="1" applyAlignment="1">
      <alignment horizontal="center" wrapText="1"/>
    </xf>
    <xf numFmtId="0" fontId="25" fillId="33" borderId="29" xfId="38" applyFont="1" applyFill="1" applyBorder="1" applyAlignment="1">
      <alignment horizontal="center"/>
    </xf>
    <xf numFmtId="0" fontId="25" fillId="33" borderId="35" xfId="38" applyFont="1" applyFill="1" applyBorder="1" applyAlignment="1">
      <alignment horizontal="center"/>
    </xf>
    <xf numFmtId="2" fontId="25" fillId="33" borderId="69" xfId="38" applyNumberFormat="1" applyFont="1" applyFill="1" applyBorder="1" applyAlignment="1">
      <alignment horizontal="center"/>
    </xf>
    <xf numFmtId="2" fontId="25" fillId="33" borderId="55" xfId="38" applyNumberFormat="1" applyFont="1" applyFill="1" applyBorder="1" applyAlignment="1">
      <alignment horizontal="center"/>
    </xf>
    <xf numFmtId="2" fontId="25" fillId="33" borderId="57" xfId="38" applyNumberFormat="1" applyFont="1" applyFill="1" applyBorder="1" applyAlignment="1">
      <alignment horizontal="center"/>
    </xf>
    <xf numFmtId="4" fontId="25" fillId="33" borderId="47" xfId="38" applyNumberFormat="1" applyFont="1" applyFill="1" applyBorder="1" applyAlignment="1">
      <alignment horizontal="center" wrapText="1"/>
    </xf>
    <xf numFmtId="2" fontId="25" fillId="33" borderId="0" xfId="38" applyNumberFormat="1" applyFont="1" applyFill="1" applyAlignment="1">
      <alignment horizontal="center"/>
    </xf>
    <xf numFmtId="4" fontId="25" fillId="33" borderId="74" xfId="38" applyNumberFormat="1" applyFont="1" applyFill="1" applyBorder="1" applyAlignment="1">
      <alignment horizontal="center" wrapText="1"/>
    </xf>
    <xf numFmtId="0" fontId="24" fillId="33" borderId="48" xfId="38" applyFont="1" applyFill="1" applyBorder="1"/>
    <xf numFmtId="4" fontId="24" fillId="33" borderId="49" xfId="38" applyNumberFormat="1" applyFont="1" applyFill="1" applyBorder="1" applyAlignment="1">
      <alignment horizontal="center"/>
    </xf>
    <xf numFmtId="4" fontId="24" fillId="33" borderId="38" xfId="38" applyNumberFormat="1" applyFont="1" applyFill="1" applyBorder="1" applyAlignment="1">
      <alignment horizontal="center"/>
    </xf>
    <xf numFmtId="2" fontId="25" fillId="33" borderId="48" xfId="38" applyNumberFormat="1" applyFont="1" applyFill="1" applyBorder="1" applyAlignment="1">
      <alignment horizontal="center"/>
    </xf>
    <xf numFmtId="2" fontId="25" fillId="33" borderId="49" xfId="38" applyNumberFormat="1" applyFont="1" applyFill="1" applyBorder="1" applyAlignment="1">
      <alignment horizontal="center"/>
    </xf>
    <xf numFmtId="17" fontId="24" fillId="33" borderId="13" xfId="38" applyNumberFormat="1" applyFont="1" applyFill="1" applyBorder="1" applyAlignment="1">
      <alignment horizontal="center"/>
    </xf>
    <xf numFmtId="167" fontId="25" fillId="34" borderId="22" xfId="38" applyNumberFormat="1" applyFont="1" applyFill="1" applyBorder="1" applyAlignment="1">
      <alignment horizontal="center" wrapText="1"/>
    </xf>
    <xf numFmtId="4" fontId="24" fillId="33" borderId="48" xfId="38" applyNumberFormat="1" applyFont="1" applyFill="1" applyBorder="1" applyAlignment="1">
      <alignment horizontal="center"/>
    </xf>
    <xf numFmtId="2" fontId="25" fillId="33" borderId="19" xfId="38" applyNumberFormat="1" applyFont="1" applyFill="1" applyBorder="1" applyAlignment="1">
      <alignment horizontal="center"/>
    </xf>
    <xf numFmtId="0" fontId="6" fillId="0" borderId="16" xfId="38" applyFont="1" applyBorder="1"/>
    <xf numFmtId="0" fontId="6" fillId="0" borderId="75" xfId="38" applyFont="1" applyBorder="1"/>
    <xf numFmtId="0" fontId="6" fillId="0" borderId="42" xfId="38" applyFont="1" applyBorder="1"/>
    <xf numFmtId="0" fontId="6" fillId="0" borderId="76" xfId="38" applyFont="1" applyBorder="1"/>
    <xf numFmtId="0" fontId="6" fillId="0" borderId="25" xfId="38" applyFont="1" applyBorder="1"/>
    <xf numFmtId="0" fontId="6" fillId="0" borderId="62" xfId="38" applyFont="1" applyBorder="1"/>
    <xf numFmtId="0" fontId="6" fillId="0" borderId="27" xfId="38" applyFont="1" applyBorder="1"/>
    <xf numFmtId="0" fontId="6" fillId="0" borderId="28" xfId="38" applyFont="1" applyBorder="1"/>
    <xf numFmtId="0" fontId="6" fillId="0" borderId="31" xfId="38" applyFont="1" applyBorder="1"/>
    <xf numFmtId="1" fontId="6" fillId="0" borderId="38" xfId="38" applyNumberFormat="1" applyFont="1" applyBorder="1"/>
    <xf numFmtId="0" fontId="6" fillId="0" borderId="77" xfId="38" applyFont="1" applyBorder="1"/>
    <xf numFmtId="0" fontId="6" fillId="0" borderId="78" xfId="38" applyFont="1" applyBorder="1"/>
    <xf numFmtId="1" fontId="6" fillId="0" borderId="34" xfId="38" applyNumberFormat="1" applyFont="1" applyBorder="1"/>
    <xf numFmtId="0" fontId="6" fillId="0" borderId="64" xfId="38" applyFont="1" applyBorder="1"/>
    <xf numFmtId="0" fontId="6" fillId="0" borderId="37" xfId="38" applyFont="1" applyBorder="1"/>
    <xf numFmtId="0" fontId="6" fillId="0" borderId="22" xfId="38" applyFont="1" applyBorder="1"/>
    <xf numFmtId="4" fontId="6" fillId="0" borderId="22" xfId="38" applyNumberFormat="1" applyFont="1" applyBorder="1" applyAlignment="1">
      <alignment horizontal="left"/>
    </xf>
    <xf numFmtId="0" fontId="6" fillId="0" borderId="21" xfId="38" applyFont="1" applyBorder="1"/>
    <xf numFmtId="4" fontId="6" fillId="0" borderId="22" xfId="38" applyNumberFormat="1" applyFont="1" applyBorder="1" applyAlignment="1">
      <alignment vertical="center"/>
    </xf>
    <xf numFmtId="4" fontId="6" fillId="0" borderId="64" xfId="38" applyNumberFormat="1" applyFont="1" applyBorder="1" applyAlignment="1">
      <alignment horizontal="left" vertical="center"/>
    </xf>
    <xf numFmtId="0" fontId="6" fillId="0" borderId="34" xfId="38" applyFont="1" applyBorder="1"/>
    <xf numFmtId="4" fontId="6" fillId="0" borderId="64" xfId="38" applyNumberFormat="1" applyFont="1" applyBorder="1" applyAlignment="1">
      <alignment horizontal="right" vertical="center"/>
    </xf>
    <xf numFmtId="0" fontId="6" fillId="0" borderId="47" xfId="38" applyFont="1" applyBorder="1" applyAlignment="1">
      <alignment horizontal="center" vertical="center"/>
    </xf>
    <xf numFmtId="0" fontId="25" fillId="0" borderId="0" xfId="38" applyFont="1"/>
    <xf numFmtId="164" fontId="24" fillId="33" borderId="0" xfId="38" applyNumberFormat="1" applyFont="1" applyFill="1"/>
    <xf numFmtId="4" fontId="25" fillId="33" borderId="55" xfId="38" applyNumberFormat="1" applyFont="1" applyFill="1" applyBorder="1" applyAlignment="1">
      <alignment horizontal="center" wrapText="1"/>
    </xf>
    <xf numFmtId="4" fontId="24" fillId="33" borderId="19" xfId="38" applyNumberFormat="1" applyFont="1" applyFill="1" applyBorder="1" applyAlignment="1">
      <alignment horizontal="center"/>
    </xf>
    <xf numFmtId="4" fontId="24" fillId="33" borderId="18" xfId="38" applyNumberFormat="1" applyFont="1" applyFill="1" applyBorder="1" applyAlignment="1">
      <alignment horizontal="center"/>
    </xf>
    <xf numFmtId="2" fontId="25" fillId="33" borderId="20" xfId="38" applyNumberFormat="1" applyFont="1" applyFill="1" applyBorder="1" applyAlignment="1">
      <alignment horizontal="center"/>
    </xf>
    <xf numFmtId="0" fontId="24" fillId="33" borderId="14" xfId="38" applyFont="1" applyFill="1" applyBorder="1" applyAlignment="1">
      <alignment horizontal="center" wrapText="1"/>
    </xf>
    <xf numFmtId="164" fontId="24" fillId="33" borderId="19" xfId="38" applyNumberFormat="1" applyFont="1" applyFill="1" applyBorder="1" applyAlignment="1">
      <alignment vertical="center"/>
    </xf>
    <xf numFmtId="0" fontId="24" fillId="33" borderId="20" xfId="38" applyFont="1" applyFill="1" applyBorder="1"/>
    <xf numFmtId="4" fontId="25" fillId="33" borderId="79" xfId="38" applyNumberFormat="1" applyFont="1" applyFill="1" applyBorder="1" applyAlignment="1">
      <alignment horizontal="center" wrapText="1"/>
    </xf>
    <xf numFmtId="4" fontId="25" fillId="33" borderId="80" xfId="38" applyNumberFormat="1" applyFont="1" applyFill="1" applyBorder="1" applyAlignment="1">
      <alignment horizontal="center" wrapText="1"/>
    </xf>
    <xf numFmtId="4" fontId="25" fillId="33" borderId="81" xfId="38" applyNumberFormat="1" applyFont="1" applyFill="1" applyBorder="1" applyAlignment="1">
      <alignment horizontal="center" wrapText="1"/>
    </xf>
    <xf numFmtId="4" fontId="25" fillId="33" borderId="82" xfId="38" applyNumberFormat="1" applyFont="1" applyFill="1" applyBorder="1" applyAlignment="1">
      <alignment horizontal="center" wrapText="1"/>
    </xf>
    <xf numFmtId="4" fontId="25" fillId="33" borderId="57" xfId="38" applyNumberFormat="1" applyFont="1" applyFill="1" applyBorder="1" applyAlignment="1">
      <alignment horizontal="center" wrapText="1"/>
    </xf>
    <xf numFmtId="4" fontId="24" fillId="33" borderId="19" xfId="38" applyNumberFormat="1" applyFont="1" applyFill="1" applyBorder="1"/>
    <xf numFmtId="164" fontId="24" fillId="33" borderId="48" xfId="38" applyNumberFormat="1" applyFont="1" applyFill="1" applyBorder="1" applyAlignment="1">
      <alignment horizontal="center" vertical="center"/>
    </xf>
    <xf numFmtId="39" fontId="24" fillId="33" borderId="49" xfId="38" applyNumberFormat="1" applyFont="1" applyFill="1" applyBorder="1" applyAlignment="1">
      <alignment horizontal="center" vertical="center"/>
    </xf>
    <xf numFmtId="164" fontId="24" fillId="33" borderId="20" xfId="38" applyNumberFormat="1" applyFont="1" applyFill="1" applyBorder="1" applyAlignment="1">
      <alignment horizontal="center" vertical="center"/>
    </xf>
    <xf numFmtId="0" fontId="24" fillId="33" borderId="83" xfId="38" applyFont="1" applyFill="1" applyBorder="1" applyAlignment="1">
      <alignment horizontal="center" wrapText="1"/>
    </xf>
    <xf numFmtId="0" fontId="6" fillId="0" borderId="44" xfId="38" applyFont="1" applyBorder="1"/>
    <xf numFmtId="0" fontId="6" fillId="0" borderId="84" xfId="38" applyFont="1" applyBorder="1"/>
    <xf numFmtId="0" fontId="6" fillId="0" borderId="85" xfId="38" applyFont="1" applyBorder="1"/>
    <xf numFmtId="0" fontId="6" fillId="0" borderId="11" xfId="38" applyFont="1" applyBorder="1"/>
    <xf numFmtId="0" fontId="6" fillId="0" borderId="13" xfId="38" applyFont="1" applyBorder="1"/>
    <xf numFmtId="4" fontId="6" fillId="0" borderId="14" xfId="38" applyNumberFormat="1" applyFont="1" applyBorder="1" applyAlignment="1">
      <alignment horizontal="right" vertical="center"/>
    </xf>
    <xf numFmtId="0" fontId="6" fillId="0" borderId="68" xfId="38" applyFont="1" applyBorder="1"/>
    <xf numFmtId="0" fontId="6" fillId="34" borderId="0" xfId="38" applyFont="1" applyFill="1"/>
    <xf numFmtId="4" fontId="6" fillId="0" borderId="39" xfId="38" applyNumberFormat="1" applyFont="1" applyBorder="1" applyAlignment="1">
      <alignment horizontal="right" vertical="center"/>
    </xf>
    <xf numFmtId="2" fontId="6" fillId="0" borderId="43" xfId="38" applyNumberFormat="1" applyFont="1" applyBorder="1" applyAlignment="1">
      <alignment horizontal="center"/>
    </xf>
    <xf numFmtId="4" fontId="6" fillId="0" borderId="43" xfId="38" applyNumberFormat="1" applyFont="1" applyBorder="1"/>
    <xf numFmtId="0" fontId="6" fillId="0" borderId="43" xfId="38" applyFont="1" applyBorder="1"/>
    <xf numFmtId="3" fontId="6" fillId="0" borderId="43" xfId="38" applyNumberFormat="1" applyFont="1" applyBorder="1"/>
    <xf numFmtId="0" fontId="6" fillId="0" borderId="59" xfId="38" applyFont="1" applyBorder="1" applyAlignment="1">
      <alignment horizontal="left"/>
    </xf>
    <xf numFmtId="0" fontId="1" fillId="0" borderId="66" xfId="38" applyFont="1" applyBorder="1"/>
    <xf numFmtId="0" fontId="6" fillId="0" borderId="67" xfId="38" applyFont="1" applyBorder="1"/>
    <xf numFmtId="0" fontId="6" fillId="0" borderId="47" xfId="38" applyFont="1" applyBorder="1"/>
    <xf numFmtId="0" fontId="18" fillId="0" borderId="0" xfId="38" applyFont="1"/>
    <xf numFmtId="1" fontId="6" fillId="0" borderId="43" xfId="38" applyNumberFormat="1" applyFont="1" applyBorder="1" applyAlignment="1">
      <alignment horizontal="center"/>
    </xf>
    <xf numFmtId="170" fontId="6" fillId="0" borderId="43" xfId="38" applyNumberFormat="1" applyFont="1" applyBorder="1"/>
    <xf numFmtId="170" fontId="6" fillId="0" borderId="0" xfId="38" applyNumberFormat="1" applyFont="1"/>
    <xf numFmtId="170" fontId="6" fillId="0" borderId="32" xfId="38" applyNumberFormat="1" applyFont="1" applyBorder="1" applyAlignment="1">
      <alignment horizontal="center" vertical="center"/>
    </xf>
    <xf numFmtId="171" fontId="6" fillId="0" borderId="32" xfId="38" applyNumberFormat="1" applyFont="1" applyBorder="1" applyAlignment="1">
      <alignment horizontal="center" vertical="center"/>
    </xf>
    <xf numFmtId="175" fontId="6" fillId="0" borderId="32" xfId="38" applyNumberFormat="1" applyFont="1" applyBorder="1" applyAlignment="1">
      <alignment horizontal="center" vertical="center"/>
    </xf>
    <xf numFmtId="2" fontId="6" fillId="0" borderId="32" xfId="38" applyNumberFormat="1" applyFont="1" applyBorder="1" applyAlignment="1">
      <alignment horizontal="center" vertical="center"/>
    </xf>
    <xf numFmtId="170" fontId="6" fillId="0" borderId="44" xfId="38" applyNumberFormat="1" applyFont="1" applyBorder="1" applyAlignment="1">
      <alignment vertical="center"/>
    </xf>
    <xf numFmtId="175" fontId="6" fillId="0" borderId="44" xfId="38" applyNumberFormat="1" applyFont="1" applyBorder="1" applyAlignment="1">
      <alignment vertical="center"/>
    </xf>
    <xf numFmtId="2" fontId="6" fillId="0" borderId="44" xfId="38" applyNumberFormat="1" applyFont="1" applyBorder="1" applyAlignment="1">
      <alignment vertical="center"/>
    </xf>
    <xf numFmtId="0" fontId="1" fillId="33" borderId="0" xfId="38" applyFont="1" applyFill="1"/>
    <xf numFmtId="0" fontId="31" fillId="33" borderId="0" xfId="38" applyFont="1" applyFill="1"/>
    <xf numFmtId="0" fontId="17" fillId="33" borderId="32" xfId="38" applyFont="1" applyFill="1" applyBorder="1"/>
    <xf numFmtId="0" fontId="17" fillId="33" borderId="65" xfId="38" applyFont="1" applyFill="1" applyBorder="1" applyAlignment="1">
      <alignment horizontal="center"/>
    </xf>
    <xf numFmtId="0" fontId="1" fillId="33" borderId="13" xfId="38" applyFont="1" applyFill="1" applyBorder="1"/>
    <xf numFmtId="0" fontId="17" fillId="33" borderId="13" xfId="38" applyFont="1" applyFill="1" applyBorder="1"/>
    <xf numFmtId="16" fontId="17" fillId="33" borderId="13" xfId="38" applyNumberFormat="1" applyFont="1" applyFill="1" applyBorder="1" applyAlignment="1">
      <alignment horizontal="center"/>
    </xf>
    <xf numFmtId="4" fontId="29" fillId="33" borderId="33" xfId="38" applyNumberFormat="1" applyFont="1" applyFill="1" applyBorder="1" applyAlignment="1">
      <alignment horizontal="center" wrapText="1"/>
    </xf>
    <xf numFmtId="4" fontId="29" fillId="34" borderId="33" xfId="38" applyNumberFormat="1" applyFont="1" applyFill="1" applyBorder="1" applyAlignment="1">
      <alignment horizontal="center" wrapText="1"/>
    </xf>
    <xf numFmtId="167" fontId="29" fillId="33" borderId="27" xfId="38" applyNumberFormat="1" applyFont="1" applyFill="1" applyBorder="1" applyAlignment="1">
      <alignment horizontal="center" wrapText="1"/>
    </xf>
    <xf numFmtId="0" fontId="17" fillId="33" borderId="65" xfId="38" applyFont="1" applyFill="1" applyBorder="1"/>
    <xf numFmtId="4" fontId="17" fillId="33" borderId="65" xfId="38" applyNumberFormat="1" applyFont="1" applyFill="1" applyBorder="1"/>
    <xf numFmtId="4" fontId="24" fillId="33" borderId="69" xfId="38" applyNumberFormat="1" applyFont="1" applyFill="1" applyBorder="1" applyAlignment="1">
      <alignment horizontal="center"/>
    </xf>
    <xf numFmtId="4" fontId="17" fillId="33" borderId="86" xfId="38" applyNumberFormat="1" applyFont="1" applyFill="1" applyBorder="1" applyAlignment="1">
      <alignment horizontal="center"/>
    </xf>
    <xf numFmtId="167" fontId="32" fillId="33" borderId="13" xfId="38" applyNumberFormat="1" applyFont="1" applyFill="1" applyBorder="1" applyAlignment="1">
      <alignment horizontal="center" wrapText="1"/>
    </xf>
    <xf numFmtId="4" fontId="17" fillId="33" borderId="13" xfId="38" applyNumberFormat="1" applyFont="1" applyFill="1" applyBorder="1" applyAlignment="1">
      <alignment horizontal="center"/>
    </xf>
    <xf numFmtId="0" fontId="17" fillId="33" borderId="48" xfId="38" applyFont="1" applyFill="1" applyBorder="1"/>
    <xf numFmtId="164" fontId="17" fillId="33" borderId="49" xfId="38" applyNumberFormat="1" applyFont="1" applyFill="1" applyBorder="1"/>
    <xf numFmtId="4" fontId="1" fillId="33" borderId="0" xfId="38" applyNumberFormat="1" applyFont="1" applyFill="1"/>
    <xf numFmtId="16" fontId="17" fillId="33" borderId="65" xfId="38" applyNumberFormat="1" applyFont="1" applyFill="1" applyBorder="1" applyAlignment="1">
      <alignment horizontal="center"/>
    </xf>
    <xf numFmtId="0" fontId="17" fillId="33" borderId="87" xfId="38" applyFont="1" applyFill="1" applyBorder="1" applyAlignment="1">
      <alignment horizontal="center"/>
    </xf>
    <xf numFmtId="0" fontId="17" fillId="33" borderId="66" xfId="38" applyFont="1" applyFill="1" applyBorder="1" applyAlignment="1">
      <alignment horizontal="center"/>
    </xf>
    <xf numFmtId="0" fontId="17" fillId="33" borderId="88" xfId="38" applyFont="1" applyFill="1" applyBorder="1" applyAlignment="1">
      <alignment horizontal="center"/>
    </xf>
    <xf numFmtId="0" fontId="17" fillId="33" borderId="89" xfId="38" applyFont="1" applyFill="1" applyBorder="1" applyAlignment="1">
      <alignment horizontal="center"/>
    </xf>
    <xf numFmtId="4" fontId="29" fillId="33" borderId="90" xfId="38" applyNumberFormat="1" applyFont="1" applyFill="1" applyBorder="1" applyAlignment="1">
      <alignment horizontal="center" wrapText="1"/>
    </xf>
    <xf numFmtId="4" fontId="17" fillId="33" borderId="45" xfId="38" applyNumberFormat="1" applyFont="1" applyFill="1" applyBorder="1"/>
    <xf numFmtId="4" fontId="17" fillId="33" borderId="17" xfId="38" applyNumberFormat="1" applyFont="1" applyFill="1" applyBorder="1" applyAlignment="1">
      <alignment horizontal="center"/>
    </xf>
    <xf numFmtId="2" fontId="17" fillId="33" borderId="54" xfId="38" applyNumberFormat="1" applyFont="1" applyFill="1" applyBorder="1" applyAlignment="1">
      <alignment horizontal="center"/>
    </xf>
    <xf numFmtId="0" fontId="1" fillId="33" borderId="58" xfId="38" applyFont="1" applyFill="1" applyBorder="1"/>
    <xf numFmtId="0" fontId="31" fillId="0" borderId="0" xfId="38" applyFont="1"/>
    <xf numFmtId="0" fontId="17" fillId="0" borderId="0" xfId="38" applyFont="1"/>
    <xf numFmtId="0" fontId="28" fillId="0" borderId="0" xfId="38" applyFont="1" applyAlignment="1">
      <alignment vertical="center"/>
    </xf>
    <xf numFmtId="167" fontId="25" fillId="0" borderId="23" xfId="38" applyNumberFormat="1" applyFont="1" applyBorder="1" applyAlignment="1">
      <alignment horizontal="center" wrapText="1"/>
    </xf>
    <xf numFmtId="0" fontId="1" fillId="0" borderId="72" xfId="38" applyFont="1" applyBorder="1" applyAlignment="1">
      <alignment horizontal="center"/>
    </xf>
    <xf numFmtId="4" fontId="29" fillId="0" borderId="26" xfId="38" applyNumberFormat="1" applyFont="1" applyBorder="1" applyAlignment="1">
      <alignment horizontal="center" wrapText="1"/>
    </xf>
    <xf numFmtId="4" fontId="29" fillId="0" borderId="24" xfId="38" applyNumberFormat="1" applyFont="1" applyBorder="1" applyAlignment="1">
      <alignment horizontal="center" wrapText="1"/>
    </xf>
    <xf numFmtId="167" fontId="25" fillId="0" borderId="29" xfId="38" applyNumberFormat="1" applyFont="1" applyBorder="1" applyAlignment="1">
      <alignment horizontal="center" wrapText="1"/>
    </xf>
    <xf numFmtId="0" fontId="1" fillId="0" borderId="73" xfId="38" applyFont="1" applyBorder="1" applyAlignment="1">
      <alignment horizontal="center"/>
    </xf>
    <xf numFmtId="4" fontId="29" fillId="0" borderId="32" xfId="38" applyNumberFormat="1" applyFont="1" applyBorder="1" applyAlignment="1">
      <alignment horizontal="center" wrapText="1"/>
    </xf>
    <xf numFmtId="4" fontId="29" fillId="0" borderId="30" xfId="38" applyNumberFormat="1" applyFont="1" applyBorder="1" applyAlignment="1">
      <alignment horizontal="center" wrapText="1"/>
    </xf>
    <xf numFmtId="167" fontId="25" fillId="33" borderId="29" xfId="38" applyNumberFormat="1" applyFont="1" applyFill="1" applyBorder="1" applyAlignment="1">
      <alignment horizontal="center" wrapText="1"/>
    </xf>
    <xf numFmtId="0" fontId="1" fillId="33" borderId="73" xfId="38" applyFont="1" applyFill="1" applyBorder="1" applyAlignment="1">
      <alignment horizontal="center"/>
    </xf>
    <xf numFmtId="4" fontId="29" fillId="33" borderId="32" xfId="38" applyNumberFormat="1" applyFont="1" applyFill="1" applyBorder="1" applyAlignment="1">
      <alignment horizontal="center" wrapText="1"/>
    </xf>
    <xf numFmtId="4" fontId="29" fillId="33" borderId="30" xfId="38" applyNumberFormat="1" applyFont="1" applyFill="1" applyBorder="1" applyAlignment="1">
      <alignment horizontal="center" wrapText="1"/>
    </xf>
    <xf numFmtId="167" fontId="25" fillId="34" borderId="29" xfId="38" applyNumberFormat="1" applyFont="1" applyFill="1" applyBorder="1" applyAlignment="1">
      <alignment horizontal="center" wrapText="1"/>
    </xf>
    <xf numFmtId="0" fontId="1" fillId="34" borderId="73" xfId="38" applyFont="1" applyFill="1" applyBorder="1" applyAlignment="1">
      <alignment horizontal="center"/>
    </xf>
    <xf numFmtId="4" fontId="29" fillId="34" borderId="32" xfId="38" applyNumberFormat="1" applyFont="1" applyFill="1" applyBorder="1" applyAlignment="1">
      <alignment horizontal="center" wrapText="1"/>
    </xf>
    <xf numFmtId="4" fontId="29" fillId="34" borderId="30" xfId="38" applyNumberFormat="1" applyFont="1" applyFill="1" applyBorder="1" applyAlignment="1">
      <alignment horizontal="center" wrapText="1"/>
    </xf>
    <xf numFmtId="0" fontId="33" fillId="0" borderId="0" xfId="38" applyFont="1"/>
    <xf numFmtId="174" fontId="28" fillId="0" borderId="0" xfId="38" applyNumberFormat="1" applyFont="1"/>
    <xf numFmtId="164" fontId="28" fillId="0" borderId="0" xfId="38" applyNumberFormat="1" applyFont="1"/>
    <xf numFmtId="167" fontId="25" fillId="0" borderId="35" xfId="38" applyNumberFormat="1" applyFont="1" applyBorder="1" applyAlignment="1">
      <alignment horizontal="center" wrapText="1"/>
    </xf>
    <xf numFmtId="0" fontId="1" fillId="0" borderId="67" xfId="38" applyFont="1" applyBorder="1" applyAlignment="1">
      <alignment horizontal="center"/>
    </xf>
    <xf numFmtId="4" fontId="29" fillId="0" borderId="65" xfId="38" applyNumberFormat="1" applyFont="1" applyBorder="1" applyAlignment="1">
      <alignment horizontal="center" wrapText="1"/>
    </xf>
    <xf numFmtId="4" fontId="29" fillId="0" borderId="89" xfId="38" applyNumberFormat="1" applyFont="1" applyBorder="1" applyAlignment="1">
      <alignment horizontal="center" wrapText="1"/>
    </xf>
    <xf numFmtId="167" fontId="32" fillId="34" borderId="13" xfId="38" applyNumberFormat="1" applyFont="1" applyFill="1" applyBorder="1" applyAlignment="1">
      <alignment horizontal="center" wrapText="1"/>
    </xf>
    <xf numFmtId="4" fontId="17" fillId="0" borderId="17" xfId="38" applyNumberFormat="1" applyFont="1" applyBorder="1" applyAlignment="1">
      <alignment horizontal="center"/>
    </xf>
    <xf numFmtId="4" fontId="17" fillId="0" borderId="49" xfId="38" applyNumberFormat="1" applyFont="1" applyBorder="1" applyAlignment="1">
      <alignment horizontal="center"/>
    </xf>
    <xf numFmtId="4" fontId="17" fillId="0" borderId="20" xfId="38" applyNumberFormat="1" applyFont="1" applyBorder="1" applyAlignment="1">
      <alignment horizontal="center"/>
    </xf>
    <xf numFmtId="0" fontId="6" fillId="0" borderId="59" xfId="38" applyFont="1" applyBorder="1"/>
    <xf numFmtId="3" fontId="6" fillId="0" borderId="43" xfId="38" applyNumberFormat="1" applyFont="1" applyBorder="1" applyAlignment="1">
      <alignment horizontal="right"/>
    </xf>
    <xf numFmtId="0" fontId="6" fillId="0" borderId="12" xfId="38" applyFont="1" applyBorder="1" applyAlignment="1">
      <alignment vertical="center"/>
    </xf>
    <xf numFmtId="4" fontId="1" fillId="0" borderId="26" xfId="38" applyNumberFormat="1" applyFont="1" applyBorder="1" applyAlignment="1">
      <alignment horizontal="center"/>
    </xf>
    <xf numFmtId="0" fontId="6" fillId="0" borderId="12" xfId="38" applyFont="1" applyBorder="1"/>
    <xf numFmtId="0" fontId="6" fillId="0" borderId="59" xfId="38" applyFont="1" applyBorder="1" applyAlignment="1">
      <alignment horizontal="center"/>
    </xf>
    <xf numFmtId="4" fontId="1" fillId="0" borderId="65" xfId="38" applyNumberFormat="1" applyFont="1" applyBorder="1" applyAlignment="1">
      <alignment horizontal="center"/>
    </xf>
    <xf numFmtId="0" fontId="6" fillId="0" borderId="44" xfId="38" applyFont="1" applyBorder="1" applyAlignment="1">
      <alignment horizontal="right"/>
    </xf>
    <xf numFmtId="0" fontId="6" fillId="0" borderId="44" xfId="38" applyFont="1" applyBorder="1" applyAlignment="1">
      <alignment horizontal="left"/>
    </xf>
    <xf numFmtId="0" fontId="6" fillId="0" borderId="12" xfId="38" applyFont="1" applyBorder="1" applyAlignment="1">
      <alignment horizontal="right"/>
    </xf>
    <xf numFmtId="171" fontId="6" fillId="0" borderId="0" xfId="38" applyNumberFormat="1" applyFont="1"/>
    <xf numFmtId="1" fontId="6" fillId="0" borderId="14" xfId="38" applyNumberFormat="1" applyFont="1" applyBorder="1"/>
    <xf numFmtId="0" fontId="6" fillId="0" borderId="14" xfId="38" applyFont="1" applyBorder="1"/>
    <xf numFmtId="171" fontId="6" fillId="0" borderId="43" xfId="38" applyNumberFormat="1" applyFont="1" applyBorder="1"/>
    <xf numFmtId="0" fontId="28" fillId="0" borderId="32" xfId="38" applyFont="1" applyBorder="1" applyAlignment="1">
      <alignment horizontal="center" vertical="center"/>
    </xf>
    <xf numFmtId="3" fontId="6" fillId="0" borderId="32" xfId="38" applyNumberFormat="1" applyFont="1" applyBorder="1" applyAlignment="1">
      <alignment horizontal="center" vertical="center"/>
    </xf>
    <xf numFmtId="0" fontId="1" fillId="0" borderId="32" xfId="38" applyFont="1" applyBorder="1" applyAlignment="1">
      <alignment horizontal="center"/>
    </xf>
    <xf numFmtId="3" fontId="28" fillId="0" borderId="32" xfId="38" applyNumberFormat="1" applyFont="1" applyBorder="1" applyAlignment="1">
      <alignment horizontal="center" vertical="center"/>
    </xf>
    <xf numFmtId="0" fontId="6" fillId="34" borderId="32" xfId="38" applyFont="1" applyFill="1" applyBorder="1" applyAlignment="1">
      <alignment horizontal="center" vertical="center"/>
    </xf>
    <xf numFmtId="3" fontId="6" fillId="34" borderId="32" xfId="38" applyNumberFormat="1" applyFont="1" applyFill="1" applyBorder="1" applyAlignment="1">
      <alignment horizontal="center" vertical="center"/>
    </xf>
    <xf numFmtId="0" fontId="1" fillId="34" borderId="32" xfId="38" applyFont="1" applyFill="1" applyBorder="1" applyAlignment="1">
      <alignment horizontal="center"/>
    </xf>
    <xf numFmtId="3" fontId="28" fillId="34" borderId="32" xfId="38" applyNumberFormat="1" applyFont="1" applyFill="1" applyBorder="1" applyAlignment="1">
      <alignment horizontal="center" vertical="center"/>
    </xf>
    <xf numFmtId="4" fontId="34" fillId="0" borderId="32" xfId="38" applyNumberFormat="1" applyFont="1" applyBorder="1" applyAlignment="1">
      <alignment horizontal="center" vertical="center"/>
    </xf>
    <xf numFmtId="0" fontId="34" fillId="34" borderId="32" xfId="38" applyFont="1" applyFill="1" applyBorder="1" applyAlignment="1">
      <alignment horizontal="center" vertical="center"/>
    </xf>
    <xf numFmtId="4" fontId="34" fillId="34" borderId="32" xfId="38" applyNumberFormat="1" applyFont="1" applyFill="1" applyBorder="1" applyAlignment="1">
      <alignment horizontal="center" vertical="center"/>
    </xf>
    <xf numFmtId="0" fontId="6" fillId="0" borderId="23" xfId="38" applyFont="1" applyBorder="1"/>
    <xf numFmtId="0" fontId="6" fillId="0" borderId="24" xfId="38" applyFont="1" applyBorder="1"/>
    <xf numFmtId="0" fontId="6" fillId="0" borderId="29" xfId="38" applyFont="1" applyBorder="1"/>
    <xf numFmtId="0" fontId="6" fillId="0" borderId="30" xfId="38" applyFont="1" applyBorder="1"/>
    <xf numFmtId="1" fontId="6" fillId="0" borderId="35" xfId="38" applyNumberFormat="1" applyFont="1" applyBorder="1"/>
    <xf numFmtId="0" fontId="6" fillId="0" borderId="36" xfId="38" applyFont="1" applyBorder="1"/>
    <xf numFmtId="3" fontId="6" fillId="0" borderId="0" xfId="38" applyNumberFormat="1" applyFont="1"/>
    <xf numFmtId="0" fontId="6" fillId="0" borderId="66" xfId="38" applyFont="1" applyBorder="1"/>
    <xf numFmtId="11" fontId="28" fillId="0" borderId="0" xfId="38" applyNumberFormat="1" applyFont="1"/>
    <xf numFmtId="11" fontId="6" fillId="0" borderId="0" xfId="38" applyNumberFormat="1" applyFont="1"/>
    <xf numFmtId="174" fontId="6" fillId="0" borderId="0" xfId="38" applyNumberFormat="1" applyFont="1"/>
    <xf numFmtId="0" fontId="17" fillId="0" borderId="21" xfId="38" applyFont="1" applyBorder="1"/>
    <xf numFmtId="0" fontId="1" fillId="0" borderId="22" xfId="38" applyFont="1" applyBorder="1"/>
    <xf numFmtId="0" fontId="1" fillId="0" borderId="91" xfId="38" applyFont="1" applyBorder="1"/>
    <xf numFmtId="0" fontId="1" fillId="0" borderId="25" xfId="38" applyFont="1" applyBorder="1"/>
    <xf numFmtId="0" fontId="17" fillId="0" borderId="27" xfId="38" applyFont="1" applyBorder="1"/>
    <xf numFmtId="0" fontId="1" fillId="0" borderId="28" xfId="38" applyFont="1" applyBorder="1"/>
    <xf numFmtId="0" fontId="1" fillId="0" borderId="85" xfId="38" applyFont="1" applyBorder="1"/>
    <xf numFmtId="0" fontId="1" fillId="0" borderId="31" xfId="38" applyFont="1" applyBorder="1"/>
    <xf numFmtId="1" fontId="17" fillId="0" borderId="34" xfId="38" applyNumberFormat="1" applyFont="1" applyBorder="1"/>
    <xf numFmtId="0" fontId="1" fillId="0" borderId="64" xfId="38" applyFont="1" applyBorder="1"/>
    <xf numFmtId="0" fontId="1" fillId="0" borderId="11" xfId="38" applyFont="1" applyBorder="1"/>
    <xf numFmtId="0" fontId="1" fillId="0" borderId="37" xfId="38" applyFont="1" applyBorder="1"/>
    <xf numFmtId="0" fontId="1" fillId="0" borderId="43" xfId="38" applyFont="1" applyBorder="1"/>
    <xf numFmtId="0" fontId="1" fillId="0" borderId="44" xfId="38" applyFont="1" applyBorder="1"/>
    <xf numFmtId="3" fontId="1" fillId="0" borderId="43" xfId="38" applyNumberFormat="1" applyFont="1" applyBorder="1"/>
    <xf numFmtId="0" fontId="1" fillId="0" borderId="46" xfId="38" applyFont="1" applyBorder="1"/>
    <xf numFmtId="170" fontId="1" fillId="0" borderId="43" xfId="38" applyNumberFormat="1" applyFont="1" applyBorder="1"/>
    <xf numFmtId="175" fontId="1" fillId="0" borderId="0" xfId="38" applyNumberFormat="1" applyFont="1"/>
    <xf numFmtId="0" fontId="28" fillId="0" borderId="21" xfId="38" applyFont="1" applyBorder="1"/>
    <xf numFmtId="0" fontId="6" fillId="0" borderId="91" xfId="38" applyFont="1" applyBorder="1"/>
    <xf numFmtId="0" fontId="28" fillId="0" borderId="27" xfId="38" applyFont="1" applyBorder="1"/>
    <xf numFmtId="1" fontId="28" fillId="0" borderId="34" xfId="38" applyNumberFormat="1" applyFont="1" applyBorder="1"/>
    <xf numFmtId="0" fontId="28" fillId="0" borderId="0" xfId="38" applyFont="1" applyAlignment="1">
      <alignment horizontal="left"/>
    </xf>
    <xf numFmtId="0" fontId="1" fillId="0" borderId="0" xfId="38" applyFont="1" applyAlignment="1">
      <alignment horizontal="left"/>
    </xf>
    <xf numFmtId="170" fontId="1" fillId="0" borderId="0" xfId="38" applyNumberFormat="1" applyFont="1" applyAlignment="1">
      <alignment horizontal="center"/>
    </xf>
    <xf numFmtId="1" fontId="28" fillId="0" borderId="0" xfId="38" applyNumberFormat="1" applyFont="1"/>
    <xf numFmtId="0" fontId="35" fillId="0" borderId="0" xfId="38" applyFont="1" applyAlignment="1">
      <alignment vertical="center"/>
    </xf>
    <xf numFmtId="0" fontId="36" fillId="0" borderId="0" xfId="38" applyFont="1" applyAlignment="1">
      <alignment vertical="center"/>
    </xf>
    <xf numFmtId="0" fontId="37" fillId="0" borderId="0" xfId="38" applyFont="1" applyAlignment="1">
      <alignment vertical="center"/>
    </xf>
    <xf numFmtId="0" fontId="38" fillId="0" borderId="0" xfId="38" applyFont="1" applyAlignment="1">
      <alignment vertical="center"/>
    </xf>
    <xf numFmtId="0" fontId="39" fillId="0" borderId="0" xfId="38" applyFont="1" applyAlignment="1">
      <alignment vertical="center"/>
    </xf>
    <xf numFmtId="0" fontId="40" fillId="35" borderId="92" xfId="38" applyFont="1" applyFill="1" applyBorder="1" applyAlignment="1">
      <alignment horizontal="center" vertical="center" wrapText="1"/>
    </xf>
    <xf numFmtId="0" fontId="41" fillId="36" borderId="92" xfId="38" applyFont="1" applyFill="1" applyBorder="1" applyAlignment="1">
      <alignment horizontal="center" vertical="center" wrapText="1"/>
    </xf>
    <xf numFmtId="0" fontId="42" fillId="36" borderId="92" xfId="38" applyFont="1" applyFill="1" applyBorder="1" applyAlignment="1">
      <alignment horizontal="center" vertical="center" wrapText="1"/>
    </xf>
    <xf numFmtId="0" fontId="35" fillId="36" borderId="92" xfId="38" applyFont="1" applyFill="1" applyBorder="1" applyAlignment="1">
      <alignment vertical="center"/>
    </xf>
    <xf numFmtId="0" fontId="43" fillId="0" borderId="92" xfId="38" applyFont="1" applyBorder="1" applyAlignment="1">
      <alignment vertical="center"/>
    </xf>
    <xf numFmtId="0" fontId="44" fillId="0" borderId="92" xfId="38" applyFont="1" applyBorder="1" applyAlignment="1">
      <alignment vertical="center"/>
    </xf>
    <xf numFmtId="176" fontId="43" fillId="0" borderId="92" xfId="38" applyNumberFormat="1" applyFont="1" applyBorder="1" applyAlignment="1">
      <alignment horizontal="right"/>
    </xf>
    <xf numFmtId="0" fontId="41" fillId="36" borderId="92" xfId="38" applyFont="1" applyFill="1" applyBorder="1" applyAlignment="1">
      <alignment vertical="center"/>
    </xf>
    <xf numFmtId="177" fontId="35" fillId="36" borderId="92" xfId="38" applyNumberFormat="1" applyFont="1" applyFill="1" applyBorder="1" applyAlignment="1">
      <alignment horizontal="right" vertical="center"/>
    </xf>
    <xf numFmtId="177" fontId="45" fillId="36" borderId="92" xfId="38" applyNumberFormat="1" applyFont="1" applyFill="1" applyBorder="1" applyAlignment="1">
      <alignment horizontal="right" vertical="center"/>
    </xf>
    <xf numFmtId="0" fontId="40" fillId="37" borderId="92" xfId="38" applyFont="1" applyFill="1" applyBorder="1"/>
    <xf numFmtId="0" fontId="46" fillId="37" borderId="92" xfId="38" applyFont="1" applyFill="1" applyBorder="1"/>
    <xf numFmtId="0" fontId="41" fillId="36" borderId="92" xfId="38" applyFont="1" applyFill="1" applyBorder="1"/>
    <xf numFmtId="0" fontId="1" fillId="36" borderId="92" xfId="38" applyFont="1" applyFill="1" applyBorder="1"/>
    <xf numFmtId="0" fontId="43" fillId="0" borderId="92" xfId="38" applyFont="1" applyBorder="1"/>
    <xf numFmtId="0" fontId="44" fillId="0" borderId="92" xfId="38" applyFont="1" applyBorder="1"/>
    <xf numFmtId="0" fontId="44" fillId="0" borderId="92" xfId="38" applyFont="1" applyBorder="1" applyAlignment="1">
      <alignment wrapText="1"/>
    </xf>
    <xf numFmtId="0" fontId="47" fillId="36" borderId="92" xfId="38" applyFont="1" applyFill="1" applyBorder="1"/>
    <xf numFmtId="49" fontId="47" fillId="36" borderId="92" xfId="38" applyNumberFormat="1" applyFont="1" applyFill="1" applyBorder="1"/>
    <xf numFmtId="0" fontId="47" fillId="36" borderId="92" xfId="38" applyFont="1" applyFill="1" applyBorder="1" applyAlignment="1">
      <alignment wrapText="1"/>
    </xf>
    <xf numFmtId="178" fontId="47" fillId="36" borderId="92" xfId="38" applyNumberFormat="1" applyFont="1" applyFill="1" applyBorder="1"/>
    <xf numFmtId="0" fontId="48" fillId="0" borderId="0" xfId="38" applyFont="1"/>
    <xf numFmtId="0" fontId="49" fillId="0" borderId="0" xfId="38" applyFont="1" applyAlignment="1">
      <alignment vertical="center"/>
    </xf>
    <xf numFmtId="0" fontId="49" fillId="0" borderId="0" xfId="38" applyFont="1" applyAlignment="1">
      <alignment horizontal="center" vertical="center" wrapText="1"/>
    </xf>
    <xf numFmtId="0" fontId="49" fillId="33" borderId="0" xfId="38" applyFont="1" applyFill="1" applyAlignment="1">
      <alignment vertical="center"/>
    </xf>
    <xf numFmtId="0" fontId="50" fillId="33" borderId="0" xfId="38" applyFont="1" applyFill="1" applyAlignment="1">
      <alignment vertical="center"/>
    </xf>
    <xf numFmtId="179" fontId="50" fillId="33" borderId="0" xfId="38" applyNumberFormat="1" applyFont="1" applyFill="1" applyAlignment="1">
      <alignment horizontal="right" vertical="center"/>
    </xf>
    <xf numFmtId="179" fontId="49" fillId="38" borderId="0" xfId="38" applyNumberFormat="1" applyFont="1" applyFill="1" applyAlignment="1">
      <alignment horizontal="right" vertical="center"/>
    </xf>
    <xf numFmtId="0" fontId="49" fillId="39" borderId="0" xfId="38" applyFont="1" applyFill="1" applyAlignment="1">
      <alignment vertical="center"/>
    </xf>
    <xf numFmtId="0" fontId="50" fillId="39" borderId="0" xfId="38" applyFont="1" applyFill="1" applyAlignment="1">
      <alignment vertical="center"/>
    </xf>
    <xf numFmtId="179" fontId="50" fillId="39" borderId="0" xfId="38" applyNumberFormat="1" applyFont="1" applyFill="1" applyAlignment="1">
      <alignment horizontal="right" vertical="center"/>
    </xf>
    <xf numFmtId="177" fontId="50" fillId="33" borderId="0" xfId="38" applyNumberFormat="1" applyFont="1" applyFill="1" applyAlignment="1">
      <alignment horizontal="right" vertical="center"/>
    </xf>
    <xf numFmtId="177" fontId="49" fillId="38" borderId="0" xfId="38" applyNumberFormat="1" applyFont="1" applyFill="1" applyAlignment="1">
      <alignment horizontal="right" vertical="center"/>
    </xf>
    <xf numFmtId="0" fontId="49" fillId="40" borderId="0" xfId="38" applyFont="1" applyFill="1" applyAlignment="1">
      <alignment vertical="center"/>
    </xf>
    <xf numFmtId="0" fontId="50" fillId="0" borderId="0" xfId="38" applyFont="1" applyAlignment="1">
      <alignment vertical="center"/>
    </xf>
    <xf numFmtId="179" fontId="50" fillId="0" borderId="0" xfId="38" applyNumberFormat="1" applyFont="1" applyAlignment="1">
      <alignment horizontal="right" vertical="center"/>
    </xf>
    <xf numFmtId="179" fontId="49" fillId="41" borderId="0" xfId="38" applyNumberFormat="1" applyFont="1" applyFill="1" applyAlignment="1">
      <alignment horizontal="right" vertical="center"/>
    </xf>
    <xf numFmtId="177" fontId="50" fillId="0" borderId="0" xfId="38" applyNumberFormat="1" applyFont="1" applyAlignment="1">
      <alignment horizontal="right" vertical="center"/>
    </xf>
    <xf numFmtId="177" fontId="49" fillId="41" borderId="0" xfId="38" applyNumberFormat="1" applyFont="1" applyFill="1" applyAlignment="1">
      <alignment horizontal="right" vertical="center"/>
    </xf>
    <xf numFmtId="0" fontId="51" fillId="0" borderId="0" xfId="38" applyFont="1" applyAlignment="1">
      <alignment vertical="center"/>
    </xf>
    <xf numFmtId="180" fontId="50" fillId="0" borderId="0" xfId="38" applyNumberFormat="1" applyFont="1" applyAlignment="1">
      <alignment horizontal="right" vertical="center"/>
    </xf>
    <xf numFmtId="181" fontId="50" fillId="0" borderId="0" xfId="38" applyNumberFormat="1" applyFont="1" applyAlignment="1">
      <alignment horizontal="right" vertical="center"/>
    </xf>
    <xf numFmtId="170" fontId="50" fillId="0" borderId="0" xfId="38" applyNumberFormat="1" applyFont="1" applyAlignment="1">
      <alignment horizontal="right" vertical="center"/>
    </xf>
    <xf numFmtId="0" fontId="49" fillId="40" borderId="0" xfId="38" applyFont="1" applyFill="1" applyAlignment="1">
      <alignment horizontal="right" vertical="center"/>
    </xf>
    <xf numFmtId="174" fontId="50" fillId="0" borderId="0" xfId="38" applyNumberFormat="1" applyFont="1" applyAlignment="1">
      <alignment horizontal="right" vertical="center"/>
    </xf>
    <xf numFmtId="0" fontId="50" fillId="0" borderId="0" xfId="38" applyFont="1" applyAlignment="1">
      <alignment horizontal="right" vertical="center"/>
    </xf>
    <xf numFmtId="0" fontId="49" fillId="42" borderId="0" xfId="38" applyFont="1" applyFill="1" applyAlignment="1">
      <alignment vertical="center"/>
    </xf>
    <xf numFmtId="0" fontId="49" fillId="42" borderId="0" xfId="38" applyFont="1" applyFill="1" applyAlignment="1">
      <alignment horizontal="right" vertical="center"/>
    </xf>
    <xf numFmtId="182" fontId="50" fillId="0" borderId="0" xfId="38" applyNumberFormat="1" applyFont="1" applyAlignment="1">
      <alignment horizontal="right" vertical="center"/>
    </xf>
    <xf numFmtId="178" fontId="50" fillId="0" borderId="0" xfId="38" applyNumberFormat="1" applyFont="1" applyAlignment="1">
      <alignment horizontal="right" vertical="center"/>
    </xf>
    <xf numFmtId="4" fontId="50" fillId="0" borderId="0" xfId="38" applyNumberFormat="1" applyFont="1" applyAlignment="1">
      <alignment horizontal="right" vertical="center"/>
    </xf>
    <xf numFmtId="182" fontId="50" fillId="0" borderId="0" xfId="38" applyNumberFormat="1" applyFont="1" applyAlignment="1">
      <alignment vertical="center"/>
    </xf>
    <xf numFmtId="0" fontId="24" fillId="33" borderId="48" xfId="38" applyFont="1" applyFill="1" applyBorder="1" applyAlignment="1">
      <alignment horizontal="center"/>
    </xf>
    <xf numFmtId="0" fontId="6" fillId="0" borderId="43" xfId="38" applyFont="1" applyBorder="1" applyAlignment="1">
      <alignment horizontal="center"/>
    </xf>
    <xf numFmtId="0" fontId="6" fillId="0" borderId="46" xfId="38" applyFont="1" applyBorder="1" applyAlignment="1">
      <alignment horizontal="center"/>
    </xf>
    <xf numFmtId="0" fontId="17" fillId="33" borderId="32" xfId="38" applyFont="1" applyFill="1" applyBorder="1" applyAlignment="1">
      <alignment horizontal="center"/>
    </xf>
    <xf numFmtId="0" fontId="17" fillId="33" borderId="13" xfId="38" applyFont="1" applyFill="1" applyBorder="1" applyAlignment="1">
      <alignment horizontal="center"/>
    </xf>
    <xf numFmtId="4" fontId="1" fillId="0" borderId="32" xfId="38" applyNumberFormat="1" applyFont="1" applyBorder="1" applyAlignment="1">
      <alignment horizontal="center"/>
    </xf>
    <xf numFmtId="0" fontId="1" fillId="0" borderId="46" xfId="38" applyFont="1" applyBorder="1" applyAlignment="1">
      <alignment horizontal="center"/>
    </xf>
    <xf numFmtId="0" fontId="49" fillId="39" borderId="94" xfId="38" applyFont="1" applyFill="1" applyBorder="1" applyAlignment="1">
      <alignment vertical="center"/>
    </xf>
    <xf numFmtId="0" fontId="50" fillId="39" borderId="94" xfId="38" applyFont="1" applyFill="1" applyBorder="1" applyAlignment="1">
      <alignment vertical="center"/>
    </xf>
    <xf numFmtId="179" fontId="50" fillId="39" borderId="94" xfId="38" applyNumberFormat="1" applyFont="1" applyFill="1" applyBorder="1" applyAlignment="1">
      <alignment horizontal="right" vertical="center"/>
    </xf>
    <xf numFmtId="179" fontId="49" fillId="38" borderId="94" xfId="38" applyNumberFormat="1" applyFont="1" applyFill="1" applyBorder="1" applyAlignment="1">
      <alignment horizontal="right" vertical="center"/>
    </xf>
    <xf numFmtId="0" fontId="24" fillId="33" borderId="13" xfId="38" applyFont="1" applyFill="1" applyBorder="1" applyAlignment="1">
      <alignment horizontal="center"/>
    </xf>
    <xf numFmtId="0" fontId="24" fillId="33" borderId="39" xfId="38" applyFont="1" applyFill="1" applyBorder="1" applyAlignment="1">
      <alignment horizontal="center" vertical="center"/>
    </xf>
    <xf numFmtId="0" fontId="24" fillId="33" borderId="41" xfId="38" applyFont="1" applyFill="1" applyBorder="1" applyAlignment="1">
      <alignment horizontal="center"/>
    </xf>
    <xf numFmtId="0" fontId="24" fillId="33" borderId="15" xfId="38" applyFont="1" applyFill="1" applyBorder="1" applyAlignment="1">
      <alignment horizontal="center"/>
    </xf>
    <xf numFmtId="0" fontId="24" fillId="33" borderId="14" xfId="38" applyFont="1" applyFill="1" applyBorder="1" applyAlignment="1">
      <alignment horizontal="center"/>
    </xf>
    <xf numFmtId="0" fontId="24" fillId="33" borderId="40" xfId="38" applyFont="1" applyFill="1" applyBorder="1" applyAlignment="1">
      <alignment horizontal="center"/>
    </xf>
    <xf numFmtId="0" fontId="1" fillId="0" borderId="46" xfId="38" applyFont="1" applyBorder="1" applyAlignment="1">
      <alignment horizontal="center" vertical="center"/>
    </xf>
    <xf numFmtId="0" fontId="1" fillId="0" borderId="45" xfId="38" applyFont="1" applyBorder="1" applyAlignment="1">
      <alignment horizontal="center" vertical="center"/>
    </xf>
    <xf numFmtId="0" fontId="28" fillId="0" borderId="0" xfId="38" applyFont="1" applyBorder="1" applyAlignment="1">
      <alignment horizontal="center"/>
    </xf>
    <xf numFmtId="0" fontId="6" fillId="0" borderId="43" xfId="38" applyFont="1" applyBorder="1" applyAlignment="1">
      <alignment horizontal="center" vertical="center"/>
    </xf>
    <xf numFmtId="0" fontId="6" fillId="0" borderId="46" xfId="38" applyFont="1" applyBorder="1" applyAlignment="1">
      <alignment horizontal="center" vertical="center"/>
    </xf>
    <xf numFmtId="0" fontId="6" fillId="0" borderId="0" xfId="38" applyFont="1" applyBorder="1" applyAlignment="1">
      <alignment horizontal="center"/>
    </xf>
    <xf numFmtId="0" fontId="28" fillId="0" borderId="0" xfId="38" applyFont="1" applyBorder="1" applyAlignment="1">
      <alignment horizontal="center" vertical="center"/>
    </xf>
    <xf numFmtId="49" fontId="28" fillId="0" borderId="53" xfId="38" applyNumberFormat="1" applyFont="1" applyBorder="1" applyAlignment="1">
      <alignment horizontal="center" vertical="center"/>
    </xf>
    <xf numFmtId="0" fontId="24" fillId="33" borderId="13" xfId="38" applyFont="1" applyFill="1" applyBorder="1" applyAlignment="1">
      <alignment horizontal="center" vertical="center"/>
    </xf>
    <xf numFmtId="0" fontId="24" fillId="33" borderId="14" xfId="38" applyFont="1" applyFill="1" applyBorder="1" applyAlignment="1">
      <alignment horizontal="center" vertical="center"/>
    </xf>
    <xf numFmtId="0" fontId="24" fillId="33" borderId="60" xfId="38" applyFont="1" applyFill="1" applyBorder="1" applyAlignment="1">
      <alignment horizontal="center"/>
    </xf>
    <xf numFmtId="0" fontId="6" fillId="0" borderId="65" xfId="38" applyFont="1" applyBorder="1" applyAlignment="1">
      <alignment horizontal="center" vertical="center"/>
    </xf>
    <xf numFmtId="0" fontId="24" fillId="33" borderId="0" xfId="38" applyFont="1" applyFill="1" applyBorder="1" applyAlignment="1">
      <alignment horizontal="center"/>
    </xf>
    <xf numFmtId="0" fontId="24" fillId="33" borderId="68" xfId="38" applyFont="1" applyFill="1" applyBorder="1" applyAlignment="1">
      <alignment horizontal="center"/>
    </xf>
    <xf numFmtId="0" fontId="24" fillId="33" borderId="48" xfId="38" applyFont="1" applyFill="1" applyBorder="1" applyAlignment="1">
      <alignment horizontal="center"/>
    </xf>
    <xf numFmtId="0" fontId="24" fillId="33" borderId="21" xfId="38" applyFont="1" applyFill="1" applyBorder="1" applyAlignment="1">
      <alignment horizontal="center" vertical="center" wrapText="1"/>
    </xf>
    <xf numFmtId="0" fontId="28" fillId="0" borderId="0" xfId="38" applyFont="1" applyBorder="1" applyAlignment="1">
      <alignment horizontal="left"/>
    </xf>
    <xf numFmtId="0" fontId="6" fillId="0" borderId="13" xfId="38" applyFont="1" applyBorder="1" applyAlignment="1">
      <alignment horizontal="center" vertical="center"/>
    </xf>
    <xf numFmtId="0" fontId="6" fillId="0" borderId="13" xfId="38" applyFont="1" applyBorder="1" applyAlignment="1">
      <alignment horizontal="center"/>
    </xf>
    <xf numFmtId="0" fontId="24" fillId="33" borderId="53" xfId="38" applyFont="1" applyFill="1" applyBorder="1" applyAlignment="1">
      <alignment horizontal="center"/>
    </xf>
    <xf numFmtId="0" fontId="6" fillId="0" borderId="43" xfId="38" applyFont="1" applyBorder="1" applyAlignment="1">
      <alignment horizontal="center"/>
    </xf>
    <xf numFmtId="0" fontId="6" fillId="0" borderId="46" xfId="38" applyFont="1" applyBorder="1" applyAlignment="1">
      <alignment horizontal="center"/>
    </xf>
    <xf numFmtId="0" fontId="6" fillId="0" borderId="48" xfId="38" applyFont="1" applyBorder="1" applyAlignment="1">
      <alignment horizontal="center"/>
    </xf>
    <xf numFmtId="0" fontId="17" fillId="33" borderId="32" xfId="38" applyFont="1" applyFill="1" applyBorder="1" applyAlignment="1">
      <alignment horizontal="center"/>
    </xf>
    <xf numFmtId="0" fontId="17" fillId="33" borderId="13" xfId="38" applyFont="1" applyFill="1" applyBorder="1" applyAlignment="1">
      <alignment horizontal="center"/>
    </xf>
    <xf numFmtId="16" fontId="17" fillId="33" borderId="13" xfId="38" applyNumberFormat="1" applyFont="1" applyFill="1" applyBorder="1" applyAlignment="1">
      <alignment horizontal="center" vertical="center"/>
    </xf>
    <xf numFmtId="0" fontId="17" fillId="33" borderId="21" xfId="38" applyFont="1" applyFill="1" applyBorder="1" applyAlignment="1">
      <alignment horizontal="center"/>
    </xf>
    <xf numFmtId="0" fontId="6" fillId="0" borderId="0" xfId="38" applyFont="1" applyBorder="1" applyAlignment="1">
      <alignment horizontal="left" vertical="center"/>
    </xf>
    <xf numFmtId="0" fontId="28" fillId="0" borderId="32" xfId="38" applyFont="1" applyBorder="1" applyAlignment="1">
      <alignment horizontal="center" vertical="center" wrapText="1"/>
    </xf>
    <xf numFmtId="4" fontId="1" fillId="0" borderId="32" xfId="38" applyNumberFormat="1" applyFont="1" applyBorder="1" applyAlignment="1">
      <alignment horizontal="center"/>
    </xf>
    <xf numFmtId="0" fontId="1" fillId="0" borderId="43" xfId="38" applyFont="1" applyBorder="1" applyAlignment="1">
      <alignment horizontal="center"/>
    </xf>
    <xf numFmtId="0" fontId="1" fillId="0" borderId="46" xfId="38" applyFont="1" applyBorder="1" applyAlignment="1">
      <alignment horizontal="center"/>
    </xf>
    <xf numFmtId="0" fontId="1" fillId="0" borderId="0" xfId="38" applyFont="1" applyBorder="1" applyAlignment="1">
      <alignment horizontal="center"/>
    </xf>
    <xf numFmtId="0" fontId="17" fillId="0" borderId="16" xfId="38" applyFont="1" applyBorder="1" applyAlignment="1">
      <alignment horizontal="center"/>
    </xf>
    <xf numFmtId="0" fontId="17" fillId="0" borderId="38" xfId="38" applyFont="1" applyBorder="1" applyAlignment="1">
      <alignment horizontal="center"/>
    </xf>
    <xf numFmtId="0" fontId="28" fillId="0" borderId="16" xfId="38" applyFont="1" applyBorder="1" applyAlignment="1">
      <alignment horizontal="center"/>
    </xf>
    <xf numFmtId="0" fontId="28" fillId="0" borderId="38" xfId="38" applyFont="1" applyBorder="1" applyAlignment="1">
      <alignment horizontal="center"/>
    </xf>
    <xf numFmtId="0" fontId="49" fillId="40" borderId="0" xfId="38" applyFont="1" applyFill="1" applyBorder="1" applyAlignment="1">
      <alignment vertical="center" wrapText="1"/>
    </xf>
    <xf numFmtId="0" fontId="49" fillId="0" borderId="0" xfId="38" applyFont="1" applyBorder="1" applyAlignment="1">
      <alignment horizontal="center" vertical="center"/>
    </xf>
    <xf numFmtId="0" fontId="49" fillId="0" borderId="93" xfId="38" applyFont="1" applyBorder="1" applyAlignment="1">
      <alignment horizontal="center" vertical="center"/>
    </xf>
    <xf numFmtId="0" fontId="49" fillId="0" borderId="94" xfId="38" applyFont="1" applyBorder="1" applyAlignment="1">
      <alignment horizontal="center" vertical="center"/>
    </xf>
    <xf numFmtId="0" fontId="49" fillId="42" borderId="0" xfId="38" applyFont="1" applyFill="1" applyBorder="1" applyAlignment="1">
      <alignment vertical="center" wrapText="1"/>
    </xf>
  </cellXfs>
  <cellStyles count="50">
    <cellStyle name="20% - Accent1" xfId="1" xr:uid="{00000000-0005-0000-0000-000006000000}"/>
    <cellStyle name="20% - Accent2" xfId="2" xr:uid="{00000000-0005-0000-0000-000007000000}"/>
    <cellStyle name="20% - Accent3" xfId="3" xr:uid="{00000000-0005-0000-0000-000008000000}"/>
    <cellStyle name="20% - Accent4" xfId="4" xr:uid="{00000000-0005-0000-0000-000009000000}"/>
    <cellStyle name="20% - Accent5" xfId="5" xr:uid="{00000000-0005-0000-0000-00000A000000}"/>
    <cellStyle name="20% - Accent6" xfId="6" xr:uid="{00000000-0005-0000-0000-00000B000000}"/>
    <cellStyle name="40% - Accent1" xfId="7" xr:uid="{00000000-0005-0000-0000-00000C000000}"/>
    <cellStyle name="40% - Accent2" xfId="8" xr:uid="{00000000-0005-0000-0000-00000D000000}"/>
    <cellStyle name="40% - Accent3" xfId="9" xr:uid="{00000000-0005-0000-0000-00000E000000}"/>
    <cellStyle name="40% - Accent4" xfId="10" xr:uid="{00000000-0005-0000-0000-00000F000000}"/>
    <cellStyle name="40% - Accent5" xfId="11" xr:uid="{00000000-0005-0000-0000-000010000000}"/>
    <cellStyle name="40% - Accent6" xfId="12" xr:uid="{00000000-0005-0000-0000-000011000000}"/>
    <cellStyle name="60% - Accent1" xfId="13" xr:uid="{00000000-0005-0000-0000-000012000000}"/>
    <cellStyle name="60% - Accent2" xfId="14" xr:uid="{00000000-0005-0000-0000-000013000000}"/>
    <cellStyle name="60% - Accent3" xfId="15" xr:uid="{00000000-0005-0000-0000-000014000000}"/>
    <cellStyle name="60% - Accent4" xfId="16" xr:uid="{00000000-0005-0000-0000-000015000000}"/>
    <cellStyle name="60% - Accent5" xfId="17" xr:uid="{00000000-0005-0000-0000-000016000000}"/>
    <cellStyle name="60% - Accent6" xfId="18" xr:uid="{00000000-0005-0000-0000-000017000000}"/>
    <cellStyle name="Accent1" xfId="19" xr:uid="{00000000-0005-0000-0000-000018000000}"/>
    <cellStyle name="Accent2" xfId="20" xr:uid="{00000000-0005-0000-0000-000019000000}"/>
    <cellStyle name="Accent3" xfId="21" xr:uid="{00000000-0005-0000-0000-00001A000000}"/>
    <cellStyle name="Accent4" xfId="22" xr:uid="{00000000-0005-0000-0000-00001B000000}"/>
    <cellStyle name="Accent5" xfId="23" xr:uid="{00000000-0005-0000-0000-00001C000000}"/>
    <cellStyle name="Accent6" xfId="24" xr:uid="{00000000-0005-0000-0000-00001D000000}"/>
    <cellStyle name="Bad 4" xfId="25" xr:uid="{00000000-0005-0000-0000-00001E000000}"/>
    <cellStyle name="Calculation" xfId="26" xr:uid="{00000000-0005-0000-0000-00001F000000}"/>
    <cellStyle name="Check Cell" xfId="27" xr:uid="{00000000-0005-0000-0000-000020000000}"/>
    <cellStyle name="Comma 2" xfId="28" xr:uid="{00000000-0005-0000-0000-000021000000}"/>
    <cellStyle name="Explanatory Text" xfId="29" xr:uid="{00000000-0005-0000-0000-000022000000}"/>
    <cellStyle name="Good 3" xfId="30" xr:uid="{00000000-0005-0000-0000-000023000000}"/>
    <cellStyle name="Heading 1 1" xfId="31" xr:uid="{00000000-0005-0000-0000-000024000000}"/>
    <cellStyle name="Heading 2 2" xfId="32" xr:uid="{00000000-0005-0000-0000-000025000000}"/>
    <cellStyle name="Heading 3" xfId="33" xr:uid="{00000000-0005-0000-0000-000026000000}"/>
    <cellStyle name="Heading 4" xfId="34" xr:uid="{00000000-0005-0000-0000-000027000000}"/>
    <cellStyle name="Input" xfId="35" xr:uid="{00000000-0005-0000-0000-000028000000}"/>
    <cellStyle name="Linked Cell" xfId="36" xr:uid="{00000000-0005-0000-0000-000029000000}"/>
    <cellStyle name="Neutral 5" xfId="37" xr:uid="{00000000-0005-0000-0000-00002A000000}"/>
    <cellStyle name="Normal" xfId="0" builtinId="0"/>
    <cellStyle name="Normal 2" xfId="39" xr:uid="{00000000-0005-0000-0000-00002C000000}"/>
    <cellStyle name="Normal 2 2" xfId="40" xr:uid="{00000000-0005-0000-0000-00002D000000}"/>
    <cellStyle name="Normal 2 3" xfId="41" xr:uid="{00000000-0005-0000-0000-00002E000000}"/>
    <cellStyle name="Normal 3" xfId="42" xr:uid="{00000000-0005-0000-0000-00002F000000}"/>
    <cellStyle name="Normal 3 2" xfId="43" xr:uid="{00000000-0005-0000-0000-000030000000}"/>
    <cellStyle name="Normal 4" xfId="38" xr:uid="{00000000-0005-0000-0000-00002B000000}"/>
    <cellStyle name="Note 6" xfId="44" xr:uid="{00000000-0005-0000-0000-000031000000}"/>
    <cellStyle name="Output" xfId="45" xr:uid="{00000000-0005-0000-0000-000032000000}"/>
    <cellStyle name="Percent 2" xfId="46" xr:uid="{00000000-0005-0000-0000-000033000000}"/>
    <cellStyle name="Title 2" xfId="47" xr:uid="{00000000-0005-0000-0000-000034000000}"/>
    <cellStyle name="Total" xfId="48" xr:uid="{00000000-0005-0000-0000-000035000000}"/>
    <cellStyle name="Warning Text" xfId="49" xr:uid="{00000000-0005-0000-0000-000036000000}"/>
  </cellStyles>
  <dxfs count="1">
    <dxf>
      <font>
        <color rgb="FF805D20"/>
      </font>
      <fill>
        <patternFill>
          <bgColor rgb="FFFFF1CC"/>
        </patternFill>
      </fill>
    </dxf>
  </dxfs>
  <tableStyles count="0" defaultTableStyle="TableStyleMedium2" defaultPivotStyle="PivotStyleLight16"/>
  <colors>
    <indexedColors>
      <rgbColor rgb="FF000000"/>
      <rgbColor rgb="FFFFFFFF"/>
      <rgbColor rgb="FFFF0000"/>
      <rgbColor rgb="FFD9D9D9"/>
      <rgbColor rgb="FFF0F3F6"/>
      <rgbColor rgb="FFFFFF00"/>
      <rgbColor rgb="FFFFC7CE"/>
      <rgbColor rgb="FFC3D69B"/>
      <rgbColor rgb="FFEBF1DE"/>
      <rgbColor rgb="FF055E18"/>
      <rgbColor rgb="FFFFF1CC"/>
      <rgbColor rgb="FF8E6106"/>
      <rgbColor rgb="FFE6E0EC"/>
      <rgbColor rgb="FF115E50"/>
      <rgbColor rgb="FFC0C0C0"/>
      <rgbColor rgb="FF7F7F7F"/>
      <rgbColor rgb="FF97B5D9"/>
      <rgbColor rgb="FFC0504D"/>
      <rgbColor rgb="FFFFFFCC"/>
      <rgbColor rgb="FFDBEEF4"/>
      <rgbColor rgb="FFFDEADA"/>
      <rgbColor rgb="FFD99694"/>
      <rgbColor rgb="FFDCE6F2"/>
      <rgbColor rgb="FFB9CDE5"/>
      <rgbColor rgb="FFF3F5F7"/>
      <rgbColor rgb="FFF2DCDB"/>
      <rgbColor rgb="FFFCD5B5"/>
      <rgbColor rgb="FFD7E4BD"/>
      <rgbColor rgb="FFE7E6E6"/>
      <rgbColor rgb="FFE9EFF5"/>
      <rgbColor rgb="FFCCC1DA"/>
      <rgbColor rgb="FFF2F2F2"/>
      <rgbColor rgb="FFB7DEE8"/>
      <rgbColor rgb="FFE8F1F1"/>
      <rgbColor rgb="FFC6EFCE"/>
      <rgbColor rgb="FFFFEB9C"/>
      <rgbColor rgb="FF93CDDD"/>
      <rgbColor rgb="FFE6B9B8"/>
      <rgbColor rgb="FFB3A2C7"/>
      <rgbColor rgb="FFFFCC99"/>
      <rgbColor rgb="FF6A8497"/>
      <rgbColor rgb="FF4BACC6"/>
      <rgbColor rgb="FF9BBB59"/>
      <rgbColor rgb="FFFAC090"/>
      <rgbColor rgb="FFF79646"/>
      <rgbColor rgb="FFFA7D00"/>
      <rgbColor rgb="FF8064A2"/>
      <rgbColor rgb="FFA9A9A9"/>
      <rgbColor rgb="FF243A58"/>
      <rgbColor rgb="FF5482B5"/>
      <rgbColor rgb="FFEAF0F4"/>
      <rgbColor rgb="FF1C2124"/>
      <rgbColor rgb="FFC19D06"/>
      <rgbColor rgb="FF666666"/>
      <rgbColor rgb="FF1F497D"/>
      <rgbColor rgb="FF3F3F3F"/>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theme" Target="theme/theme1.xml"/><Relationship Id="rId30" Type="http://schemas.openxmlformats.org/officeDocument/2006/relationships/calcChain" Target="calcChain.xml"/><Relationship Id="rId8" Type="http://schemas.openxmlformats.org/officeDocument/2006/relationships/worksheet" Target="worksheets/sheet8.xml"/></Relationships>
</file>

<file path=xl/theme/theme1.xml><?xml version="1.0" encoding="utf-8"?>
<a:theme xmlns:a="http://schemas.openxmlformats.org/drawingml/2006/main" name="Office Theme 2007 - 2010">
  <a:themeElements>
    <a:clrScheme name="Office 2007 - 2010">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a:ea typeface="Calibri Light"/>
        <a:cs typeface="Calibri Light"/>
      </a:majorFont>
      <a:minorFont>
        <a:latin typeface="Calibri"/>
        <a:ea typeface="Calibri"/>
        <a:cs typeface="Calibri"/>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a:prstDash val="solid"/>
        </a:ln>
        <a:ln w="25400">
          <a:prstDash val="solid"/>
        </a:ln>
        <a:ln w="38100">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5.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6.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_rels/sheet7.xml.rels><?xml version="1.0" encoding="UTF-8" standalone="yes"?>
<Relationships xmlns="http://schemas.openxmlformats.org/package/2006/relationships"><Relationship Id="rId2" Type="http://schemas.openxmlformats.org/officeDocument/2006/relationships/comments" Target="../comments4.xml"/><Relationship Id="rId1" Type="http://schemas.openxmlformats.org/officeDocument/2006/relationships/vmlDrawing" Target="../drawings/vmlDrawing4.vml"/></Relationships>
</file>

<file path=xl/worksheets/_rels/sheet9.xml.rels><?xml version="1.0" encoding="UTF-8" standalone="yes"?>
<Relationships xmlns="http://schemas.openxmlformats.org/package/2006/relationships"><Relationship Id="rId2" Type="http://schemas.openxmlformats.org/officeDocument/2006/relationships/comments" Target="../comments5.xml"/><Relationship Id="rId1" Type="http://schemas.openxmlformats.org/officeDocument/2006/relationships/vmlDrawing" Target="../drawings/vmlDrawing5.vml"/></Relationships>
</file>

<file path=xl/worksheets/_rels/sheet10.xml.rels><?xml version="1.0" encoding="UTF-8" standalone="yes"?>
<Relationships xmlns="http://schemas.openxmlformats.org/package/2006/relationships"><Relationship Id="rId2" Type="http://schemas.openxmlformats.org/officeDocument/2006/relationships/comments" Target="../comments6.xml"/><Relationship Id="rId1" Type="http://schemas.openxmlformats.org/officeDocument/2006/relationships/vmlDrawing" Target="../drawings/vmlDrawing6.vml"/></Relationships>
</file>

<file path=xl/worksheets/_rels/sheet15.xml.rels><?xml version="1.0" encoding="UTF-8" standalone="yes"?>
<Relationships xmlns="http://schemas.openxmlformats.org/package/2006/relationships"><Relationship Id="rId2" Type="http://schemas.openxmlformats.org/officeDocument/2006/relationships/comments" Target="../comments7.xml"/><Relationship Id="rId1" Type="http://schemas.openxmlformats.org/officeDocument/2006/relationships/vmlDrawing" Target="../drawings/vmlDrawing7.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155"/>
  <sheetViews>
    <sheetView zoomScale="70" zoomScaleNormal="70" workbookViewId="0">
      <pane xSplit="1" ySplit="2" topLeftCell="B3" activePane="bottomRight" state="frozen"/>
      <selection pane="bottomRight"/>
      <selection pane="bottomLeft" activeCell="A3" sqref="A3"/>
      <selection pane="topRight" activeCell="B1" sqref="B1"/>
    </sheetView>
  </sheetViews>
  <sheetFormatPr defaultColWidth="8.7109375" defaultRowHeight="15"/>
  <cols>
    <col min="1" max="1" width="14.28515625" customWidth="1"/>
    <col min="2" max="7" width="18" customWidth="1"/>
    <col min="8" max="8" width="20.7109375" customWidth="1"/>
    <col min="9" max="9" width="19.140625" customWidth="1"/>
  </cols>
  <sheetData>
    <row r="1" spans="1:9" ht="18.75" customHeight="1">
      <c r="A1" s="1">
        <v>2026</v>
      </c>
      <c r="B1" s="1" t="s">
        <v>0</v>
      </c>
      <c r="C1" s="2"/>
      <c r="D1" s="2"/>
      <c r="E1" s="2"/>
      <c r="F1" s="2"/>
      <c r="G1" s="2"/>
      <c r="H1" s="2"/>
      <c r="I1" s="2"/>
    </row>
    <row r="2" spans="1:9" ht="57" customHeight="1">
      <c r="A2" s="3"/>
      <c r="B2" s="4" t="s">
        <v>1</v>
      </c>
      <c r="C2" s="4" t="s">
        <v>2</v>
      </c>
      <c r="D2" s="4" t="s">
        <v>3</v>
      </c>
      <c r="E2" s="4" t="s">
        <v>4</v>
      </c>
      <c r="F2" s="4" t="s">
        <v>5</v>
      </c>
      <c r="G2" s="4" t="s">
        <v>6</v>
      </c>
      <c r="H2" s="5" t="s">
        <v>7</v>
      </c>
      <c r="I2" s="5" t="s">
        <v>8</v>
      </c>
    </row>
    <row r="3" spans="1:9" ht="18.75" customHeight="1">
      <c r="A3" s="6" t="s">
        <v>9</v>
      </c>
      <c r="B3" s="7" t="s">
        <v>10</v>
      </c>
      <c r="C3" s="7" t="s">
        <v>10</v>
      </c>
      <c r="D3" s="7" t="s">
        <v>10</v>
      </c>
      <c r="E3" s="7" t="s">
        <v>10</v>
      </c>
      <c r="F3" s="7" t="s">
        <v>10</v>
      </c>
      <c r="G3" s="7" t="s">
        <v>10</v>
      </c>
      <c r="H3" s="7" t="s">
        <v>10</v>
      </c>
      <c r="I3" s="7" t="s">
        <v>10</v>
      </c>
    </row>
    <row r="4" spans="1:9">
      <c r="A4" s="2" t="s">
        <v>11</v>
      </c>
      <c r="B4" s="8">
        <f>'Mensual 2026'!C27</f>
        <v>6.65210105853276</v>
      </c>
      <c r="C4" s="8">
        <f>'Mensual 2026'!D27</f>
        <v>9.0407409144955189</v>
      </c>
      <c r="D4" s="8">
        <f>'Mensual 2026'!E27</f>
        <v>9.6363334717390803</v>
      </c>
      <c r="E4" s="8">
        <f>'Mensual 2026'!F27</f>
        <v>13.457678977466975</v>
      </c>
      <c r="F4" s="8">
        <f>'Mensual 2026'!G27</f>
        <v>12.5445657951702</v>
      </c>
      <c r="G4" s="8">
        <f>'Mensual 2026'!H27</f>
        <v>9.9134503458060603</v>
      </c>
      <c r="H4" s="8">
        <f>SUM(B4:G4)</f>
        <v>61.244870563210597</v>
      </c>
      <c r="I4" s="8">
        <v>2946.22</v>
      </c>
    </row>
    <row r="5" spans="1:9" ht="18" customHeight="1">
      <c r="A5" s="2" t="s">
        <v>12</v>
      </c>
      <c r="B5" s="8">
        <f>'Mensual 2026'!C28</f>
        <v>7.7257350978327599</v>
      </c>
      <c r="C5" s="8">
        <f>'Mensual 2026'!D28</f>
        <v>10.954618568057519</v>
      </c>
      <c r="D5" s="8">
        <f>'Mensual 2026'!E28</f>
        <v>11.808578516905079</v>
      </c>
      <c r="E5" s="8">
        <f>'Mensual 2026'!F28</f>
        <v>16.772661677348978</v>
      </c>
      <c r="F5" s="8">
        <f>'Mensual 2026'!G28</f>
        <v>15.510460497136201</v>
      </c>
      <c r="G5" s="8">
        <f>'Mensual 2026'!H28</f>
        <v>11.05487931122406</v>
      </c>
      <c r="H5" s="8">
        <f>SUM(B5:G5)</f>
        <v>73.826933668504594</v>
      </c>
      <c r="I5" s="9">
        <v>1430.51</v>
      </c>
    </row>
    <row r="6" spans="1:9" ht="18" customHeight="1">
      <c r="A6" s="2" t="s">
        <v>13</v>
      </c>
      <c r="B6" s="8">
        <f>'Mensual 2026'!C30</f>
        <v>50.125231013232082</v>
      </c>
      <c r="C6" s="8">
        <f>'Mensual 2026'!D30</f>
        <v>89.042530637663305</v>
      </c>
      <c r="D6" s="8">
        <f>'Mensual 2026'!E30</f>
        <v>61.767045444635158</v>
      </c>
      <c r="E6" s="8">
        <f>'Mensual 2026'!F30</f>
        <v>130.26288502386868</v>
      </c>
      <c r="F6" s="8">
        <f>'Mensual 2026'!G30</f>
        <v>112.91099921885136</v>
      </c>
      <c r="G6" s="8">
        <f>'Mensual 2026'!H30</f>
        <v>50.070976904342089</v>
      </c>
      <c r="H6" s="8">
        <f>SUM(B6:G6)</f>
        <v>494.1796682425927</v>
      </c>
      <c r="I6" s="9">
        <v>7619.76</v>
      </c>
    </row>
    <row r="7" spans="1:9">
      <c r="A7" s="2" t="s">
        <v>14</v>
      </c>
      <c r="B7" s="8">
        <f>'Mensual 2026'!C31</f>
        <v>68.484657523206309</v>
      </c>
      <c r="C7" s="8">
        <f>'Mensual 2026'!D31</f>
        <v>83.195873728015528</v>
      </c>
      <c r="D7" s="8">
        <f>'Mensual 2026'!E31</f>
        <v>73.950231815786765</v>
      </c>
      <c r="E7" s="8">
        <f>'Mensual 2026'!F31</f>
        <v>105.88885367200528</v>
      </c>
      <c r="F7" s="8">
        <f>'Mensual 2026'!G31</f>
        <v>98.573426563640695</v>
      </c>
      <c r="G7" s="8">
        <f>'Mensual 2026'!H31</f>
        <v>110.65008691236142</v>
      </c>
      <c r="H7" s="8">
        <f>SUM(B7:G7)</f>
        <v>540.74313021501598</v>
      </c>
      <c r="I7" s="9">
        <v>6739.2</v>
      </c>
    </row>
    <row r="8" spans="1:9">
      <c r="A8" s="2" t="s">
        <v>15</v>
      </c>
      <c r="B8" s="8">
        <f>'Mensual 2026'!C33</f>
        <v>14.624823582616733</v>
      </c>
      <c r="C8" s="8">
        <f>'Mensual 2026'!D33</f>
        <v>16.610418957742638</v>
      </c>
      <c r="D8" s="8">
        <f>'Mensual 2026'!E33</f>
        <v>13.587211762502523</v>
      </c>
      <c r="E8" s="8">
        <f>'Mensual 2026'!F33</f>
        <v>19.28670334151353</v>
      </c>
      <c r="F8" s="8">
        <f>'Mensual 2026'!G33</f>
        <v>18.113921519496408</v>
      </c>
      <c r="G8" s="8">
        <f>'Mensual 2026'!H33</f>
        <v>24.685851319407288</v>
      </c>
      <c r="H8" s="8">
        <f>SUM(B8:G8)</f>
        <v>106.90893048327912</v>
      </c>
      <c r="I8" s="9">
        <v>1654.73</v>
      </c>
    </row>
    <row r="9" spans="1:9">
      <c r="A9" s="2" t="s">
        <v>16</v>
      </c>
      <c r="B9" s="8">
        <f>'Mensual 2026'!C32</f>
        <v>1.6778240725240603</v>
      </c>
      <c r="C9" s="8">
        <f>'Mensual 2026'!D32</f>
        <v>2.08661091102912</v>
      </c>
      <c r="D9" s="8">
        <f>'Mensual 2026'!E32</f>
        <v>2.38469407443498</v>
      </c>
      <c r="E9" s="8">
        <f>'Mensual 2026'!F32</f>
        <v>3.0507973727709472</v>
      </c>
      <c r="F9" s="8">
        <f>'Mensual 2026'!G32</f>
        <v>2.9484667626267003</v>
      </c>
      <c r="G9" s="8">
        <f>'Mensual 2026'!H32</f>
        <v>2.72333371623411</v>
      </c>
      <c r="H9" s="8">
        <f>SUM(B9:G9)</f>
        <v>14.871726909619918</v>
      </c>
      <c r="I9" s="9">
        <v>190.7</v>
      </c>
    </row>
    <row r="10" spans="1:9">
      <c r="A10" s="2" t="s">
        <v>17</v>
      </c>
      <c r="B10" s="8">
        <f>'Mensual 2026'!C35</f>
        <v>1.1082389740000001E-3</v>
      </c>
      <c r="C10" s="8">
        <f>'Mensual 2026'!D35</f>
        <v>1.9704416415600003E-3</v>
      </c>
      <c r="D10" s="8">
        <f>'Mensual 2026'!E35</f>
        <v>2.3767460635800001E-3</v>
      </c>
      <c r="E10" s="8">
        <f>'Mensual 2026'!F35</f>
        <v>3.5023488309600006E-3</v>
      </c>
      <c r="F10" s="8">
        <f>'Mensual 2026'!G35</f>
        <v>3.1717003432800003E-3</v>
      </c>
      <c r="G10" s="8">
        <f>'Mensual 2026'!H35</f>
        <v>1.2013694477400001E-3</v>
      </c>
      <c r="H10" s="8">
        <f>SUM(B10:G10)</f>
        <v>1.3330845301120003E-2</v>
      </c>
      <c r="I10" s="9">
        <v>3.54</v>
      </c>
    </row>
    <row r="11" spans="1:9">
      <c r="A11" s="2" t="s">
        <v>18</v>
      </c>
      <c r="B11" s="8">
        <f>'Mensual 2026'!C36</f>
        <v>78002.132995267311</v>
      </c>
      <c r="C11" s="8">
        <f>'Mensual 2026'!D36</f>
        <v>88849.305321668508</v>
      </c>
      <c r="D11" s="8">
        <f>'Mensual 2026'!E36</f>
        <v>83383.297682857752</v>
      </c>
      <c r="E11" s="8">
        <f>'Mensual 2026'!F36</f>
        <v>110489.83635319267</v>
      </c>
      <c r="F11" s="8">
        <f>'Mensual 2026'!G36</f>
        <v>106169.21189240928</v>
      </c>
      <c r="G11" s="8">
        <f>'Mensual 2026'!H36</f>
        <v>132747.51963412506</v>
      </c>
      <c r="H11" s="8">
        <f>SUM(B11:G11)</f>
        <v>599641.30387952062</v>
      </c>
      <c r="I11" s="10" t="s">
        <v>19</v>
      </c>
    </row>
    <row r="12" spans="1:9" ht="19.5" customHeight="1">
      <c r="A12" s="11" t="s">
        <v>20</v>
      </c>
      <c r="B12" s="12">
        <f>SUM(B4:B10)</f>
        <v>149.29148058691871</v>
      </c>
      <c r="C12" s="12">
        <f>SUM(C4:C10)</f>
        <v>210.9327641586452</v>
      </c>
      <c r="D12" s="12">
        <f>SUM(D4:D10)</f>
        <v>173.13647183206717</v>
      </c>
      <c r="E12" s="12">
        <f>SUM(E4:E10)</f>
        <v>288.7230824138054</v>
      </c>
      <c r="F12" s="12">
        <f>SUM(F4:F10)</f>
        <v>260.60501205726484</v>
      </c>
      <c r="G12" s="12">
        <f>SUM(G4:G10)</f>
        <v>209.09977987882274</v>
      </c>
      <c r="H12" s="12">
        <f>SUM(H4:H10)</f>
        <v>1291.7885909275242</v>
      </c>
      <c r="I12" s="12">
        <f>SUM(I4:I10)</f>
        <v>20584.66</v>
      </c>
    </row>
    <row r="13" spans="1:9" ht="18.75" customHeight="1">
      <c r="A13" s="2"/>
      <c r="B13" s="2"/>
      <c r="C13" s="2"/>
      <c r="D13" s="2"/>
      <c r="E13" s="2"/>
      <c r="F13" s="2"/>
      <c r="G13" s="2"/>
      <c r="H13" s="2"/>
      <c r="I13" s="2"/>
    </row>
    <row r="14" spans="1:9" ht="18.75" customHeight="1">
      <c r="A14" s="2"/>
      <c r="B14" s="7" t="s">
        <v>21</v>
      </c>
      <c r="C14" s="7" t="s">
        <v>21</v>
      </c>
      <c r="D14" s="7" t="s">
        <v>21</v>
      </c>
      <c r="E14" s="7" t="s">
        <v>21</v>
      </c>
      <c r="F14" s="7" t="s">
        <v>21</v>
      </c>
      <c r="G14" s="7" t="s">
        <v>21</v>
      </c>
      <c r="H14" s="7" t="s">
        <v>21</v>
      </c>
      <c r="I14" s="7" t="s">
        <v>21</v>
      </c>
    </row>
    <row r="15" spans="1:9" ht="18" customHeight="1">
      <c r="A15" s="2" t="s">
        <v>12</v>
      </c>
      <c r="B15" s="8">
        <f>'Mensual 2026'!C52</f>
        <v>31.676695861099994</v>
      </c>
      <c r="C15" s="8">
        <f>'Mensual 2026'!D52</f>
        <v>15.9708916022</v>
      </c>
      <c r="D15" s="8">
        <f>'Mensual 2026'!E52</f>
        <v>0.37835503770000001</v>
      </c>
      <c r="E15" s="8">
        <f>'Mensual 2026'!F52</f>
        <v>25.517368897800001</v>
      </c>
      <c r="F15" s="8">
        <f>'Mensual 2026'!G52</f>
        <v>24.008014232499999</v>
      </c>
      <c r="G15" s="8">
        <f>'Mensual 2026'!H52</f>
        <v>45.400406636852253</v>
      </c>
      <c r="H15" s="8">
        <f>SUM(B15:G15)</f>
        <v>142.95173226815223</v>
      </c>
      <c r="I15" s="9">
        <v>1387.38</v>
      </c>
    </row>
    <row r="16" spans="1:9" ht="18" customHeight="1">
      <c r="A16" s="2" t="s">
        <v>13</v>
      </c>
      <c r="B16" s="8">
        <f>'Mensual 2026'!C54</f>
        <v>305.73349610696999</v>
      </c>
      <c r="C16" s="8">
        <f>'Mensual 2026'!D54</f>
        <v>152.36199982959997</v>
      </c>
      <c r="D16" s="8">
        <f>'Mensual 2026'!E54</f>
        <v>1.053337153625</v>
      </c>
      <c r="E16" s="8">
        <f>'Mensual 2026'!F54</f>
        <v>211.42501517588249</v>
      </c>
      <c r="F16" s="8">
        <f>'Mensual 2026'!G54</f>
        <v>230.99729792419498</v>
      </c>
      <c r="G16" s="8">
        <f>'Mensual 2026'!H54</f>
        <v>432.63425653674574</v>
      </c>
      <c r="H16" s="8">
        <f>SUM(B16:G16)</f>
        <v>1334.2054027270183</v>
      </c>
      <c r="I16" s="9">
        <v>17464.39</v>
      </c>
    </row>
    <row r="17" spans="1:9">
      <c r="A17" s="2" t="s">
        <v>14</v>
      </c>
      <c r="B17" s="8">
        <f>'Mensual 2026'!C55</f>
        <v>236.55012622169997</v>
      </c>
      <c r="C17" s="8">
        <f>'Mensual 2026'!D55</f>
        <v>120.73761528119999</v>
      </c>
      <c r="D17" s="8">
        <f>'Mensual 2026'!E55</f>
        <v>9.8015464506000018</v>
      </c>
      <c r="E17" s="8">
        <f>'Mensual 2026'!F55</f>
        <v>242.68820776530004</v>
      </c>
      <c r="F17" s="8">
        <f>'Mensual 2026'!G55</f>
        <v>174.6990169689</v>
      </c>
      <c r="G17" s="8">
        <f>'Mensual 2026'!H55</f>
        <v>331.62797900487487</v>
      </c>
      <c r="H17" s="8">
        <f>SUM(B17:G17)</f>
        <v>1116.1044916925748</v>
      </c>
      <c r="I17" s="9">
        <v>12276.89</v>
      </c>
    </row>
    <row r="18" spans="1:9">
      <c r="A18" s="2" t="s">
        <v>16</v>
      </c>
      <c r="B18" s="8">
        <f>'Mensual 2026'!C56</f>
        <v>3.3125255779699998</v>
      </c>
      <c r="C18" s="8">
        <f>'Mensual 2026'!D56</f>
        <v>1.68498756076</v>
      </c>
      <c r="D18" s="8">
        <f>'Mensual 2026'!E56</f>
        <v>8.3611644100000021E-2</v>
      </c>
      <c r="E18" s="8">
        <f>'Mensual 2026'!F56</f>
        <v>3.4481234252100004</v>
      </c>
      <c r="F18" s="8">
        <f>'Mensual 2026'!G56</f>
        <v>2.43743867356</v>
      </c>
      <c r="G18" s="8">
        <f>'Mensual 2026'!H56</f>
        <v>4.6642847253553308</v>
      </c>
      <c r="H18" s="8">
        <f>SUM(B18:G18)</f>
        <v>15.630971606955331</v>
      </c>
      <c r="I18" s="9">
        <v>130.04</v>
      </c>
    </row>
    <row r="19" spans="1:9">
      <c r="A19" s="2" t="s">
        <v>15</v>
      </c>
      <c r="B19" s="8">
        <f>'Mensual 2026'!C57</f>
        <v>21.409240715199999</v>
      </c>
      <c r="C19" s="8">
        <f>'Mensual 2026'!D57</f>
        <v>10.9487948864</v>
      </c>
      <c r="D19" s="8">
        <f>'Mensual 2026'!E57</f>
        <v>0.4324586768</v>
      </c>
      <c r="E19" s="8">
        <f>'Mensual 2026'!F57</f>
        <v>20.414510179200001</v>
      </c>
      <c r="F19" s="8">
        <f>'Mensual 2026'!G57</f>
        <v>16.004466177499999</v>
      </c>
      <c r="G19" s="8">
        <f>'Mensual 2026'!H57</f>
        <v>30.707195988212401</v>
      </c>
      <c r="H19" s="8">
        <f>SUM(B19:G19)</f>
        <v>99.916666623312409</v>
      </c>
      <c r="I19" s="9">
        <v>856.94</v>
      </c>
    </row>
    <row r="20" spans="1:9">
      <c r="A20" s="2" t="s">
        <v>17</v>
      </c>
      <c r="B20" s="8">
        <f>'Mensual 2026'!C59</f>
        <v>6.7586594660000001E-3</v>
      </c>
      <c r="C20" s="8">
        <f>'Mensual 2026'!D59</f>
        <v>3.4202622220000003E-3</v>
      </c>
      <c r="D20" s="8">
        <f>'Mensual 2026'!E59</f>
        <v>2.7565489900000005E-4</v>
      </c>
      <c r="E20" s="8">
        <f>'Mensual 2026'!F59</f>
        <v>7.9470540660000009E-3</v>
      </c>
      <c r="F20" s="8">
        <f>'Mensual 2026'!G59</f>
        <v>5.1044123500000003E-3</v>
      </c>
      <c r="G20" s="8">
        <f>'Mensual 2026'!H59</f>
        <v>9.6967401340000009E-3</v>
      </c>
      <c r="H20" s="8">
        <f>SUM(B20:G20)</f>
        <v>3.3202783137000008E-2</v>
      </c>
      <c r="I20" s="9">
        <v>0.37</v>
      </c>
    </row>
    <row r="21" spans="1:9" ht="18" customHeight="1">
      <c r="A21" s="2" t="s">
        <v>18</v>
      </c>
      <c r="B21" s="8">
        <f>'Mensual 2026'!C60</f>
        <v>107317.54933949914</v>
      </c>
      <c r="C21" s="8">
        <f>'Mensual 2026'!D60</f>
        <v>54700.106545063754</v>
      </c>
      <c r="D21" s="8">
        <f>'Mensual 2026'!E60</f>
        <v>3313.2802888788792</v>
      </c>
      <c r="E21" s="8">
        <f>'Mensual 2026'!F60</f>
        <v>112038.68887471894</v>
      </c>
      <c r="F21" s="8">
        <f>'Mensual 2026'!G60</f>
        <v>81752.398032989149</v>
      </c>
      <c r="G21" s="8">
        <f>'Mensual 2026'!H60</f>
        <v>156069.30312111002</v>
      </c>
      <c r="H21" s="8">
        <f>SUM(B21:G21)</f>
        <v>515191.32620225981</v>
      </c>
      <c r="I21" s="9">
        <v>5418568.5999999996</v>
      </c>
    </row>
    <row r="22" spans="1:9" ht="19.5" customHeight="1">
      <c r="A22" s="11" t="s">
        <v>22</v>
      </c>
      <c r="B22" s="13">
        <f>SUM(B15:B20)</f>
        <v>598.68884314240586</v>
      </c>
      <c r="C22" s="13">
        <f>SUM(C15:C20)</f>
        <v>301.70770942238198</v>
      </c>
      <c r="D22" s="13">
        <f>SUM(D15:D20)</f>
        <v>11.749584617724</v>
      </c>
      <c r="E22" s="13">
        <f>SUM(E15:E20)</f>
        <v>503.50117249745853</v>
      </c>
      <c r="F22" s="13">
        <f>SUM(F15:F20)</f>
        <v>448.15133838900499</v>
      </c>
      <c r="G22" s="13">
        <f>SUM(G15:G20)</f>
        <v>845.04381963217463</v>
      </c>
      <c r="H22" s="13">
        <f>SUM(H15:H20)</f>
        <v>2708.8424677011499</v>
      </c>
      <c r="I22" s="13">
        <f>SUM(I15:I20)</f>
        <v>32116.01</v>
      </c>
    </row>
    <row r="23" spans="1:9">
      <c r="A23" s="2" t="s">
        <v>23</v>
      </c>
      <c r="B23" s="8">
        <v>0</v>
      </c>
      <c r="C23" s="8">
        <v>0</v>
      </c>
      <c r="D23" s="8">
        <v>0</v>
      </c>
      <c r="E23" s="8">
        <v>0</v>
      </c>
      <c r="F23" s="8">
        <v>0</v>
      </c>
      <c r="G23" s="8">
        <v>0</v>
      </c>
      <c r="H23" s="8">
        <f>SUM(B23:G23)</f>
        <v>0</v>
      </c>
      <c r="I23" s="10" t="s">
        <v>19</v>
      </c>
    </row>
    <row r="24" spans="1:9">
      <c r="A24" s="2" t="s">
        <v>24</v>
      </c>
      <c r="B24" s="8">
        <v>0</v>
      </c>
      <c r="C24" s="8">
        <v>0</v>
      </c>
      <c r="D24" s="8">
        <v>0</v>
      </c>
      <c r="E24" s="8">
        <v>0</v>
      </c>
      <c r="F24" s="8">
        <v>0</v>
      </c>
      <c r="G24" s="8">
        <v>0</v>
      </c>
      <c r="H24" s="8">
        <f>SUM(B24:G24)</f>
        <v>0</v>
      </c>
      <c r="I24" s="10" t="s">
        <v>19</v>
      </c>
    </row>
    <row r="25" spans="1:9">
      <c r="A25" s="2" t="s">
        <v>25</v>
      </c>
      <c r="B25" s="8">
        <v>0</v>
      </c>
      <c r="C25" s="8">
        <v>0</v>
      </c>
      <c r="D25" s="8">
        <v>0</v>
      </c>
      <c r="E25" s="8">
        <v>0</v>
      </c>
      <c r="F25" s="8">
        <v>0</v>
      </c>
      <c r="G25" s="8">
        <v>0</v>
      </c>
      <c r="H25" s="8">
        <f>SUM(B25:G25)</f>
        <v>0</v>
      </c>
      <c r="I25" s="10" t="s">
        <v>19</v>
      </c>
    </row>
    <row r="26" spans="1:9">
      <c r="A26" s="2" t="s">
        <v>26</v>
      </c>
      <c r="B26" s="8">
        <v>0</v>
      </c>
      <c r="C26" s="8">
        <v>0</v>
      </c>
      <c r="D26" s="8">
        <v>0</v>
      </c>
      <c r="E26" s="8">
        <v>0</v>
      </c>
      <c r="F26" s="8">
        <v>0</v>
      </c>
      <c r="G26" s="8">
        <v>0</v>
      </c>
      <c r="H26" s="8">
        <f>SUM(B26:G26)</f>
        <v>0</v>
      </c>
      <c r="I26" s="10" t="s">
        <v>19</v>
      </c>
    </row>
    <row r="27" spans="1:9">
      <c r="A27" s="2" t="s">
        <v>27</v>
      </c>
      <c r="B27" s="8">
        <v>0</v>
      </c>
      <c r="C27" s="8">
        <v>0</v>
      </c>
      <c r="D27" s="8">
        <v>0</v>
      </c>
      <c r="E27" s="8">
        <v>0</v>
      </c>
      <c r="F27" s="8">
        <v>0</v>
      </c>
      <c r="G27" s="8">
        <v>0</v>
      </c>
      <c r="H27" s="8">
        <f>SUM(B27:G27)</f>
        <v>0</v>
      </c>
      <c r="I27" s="14" t="s">
        <v>19</v>
      </c>
    </row>
    <row r="28" spans="1:9">
      <c r="A28" s="2" t="s">
        <v>28</v>
      </c>
      <c r="B28" s="8">
        <v>0</v>
      </c>
      <c r="C28" s="8">
        <v>0</v>
      </c>
      <c r="D28" s="8">
        <v>0</v>
      </c>
      <c r="E28" s="8">
        <v>0</v>
      </c>
      <c r="F28" s="8">
        <v>0</v>
      </c>
      <c r="G28" s="8">
        <v>0</v>
      </c>
      <c r="H28" s="8">
        <f>SUM(B28:G28)</f>
        <v>0</v>
      </c>
      <c r="I28" s="10" t="s">
        <v>19</v>
      </c>
    </row>
    <row r="29" spans="1:9">
      <c r="A29" s="11" t="s">
        <v>29</v>
      </c>
      <c r="B29" s="15">
        <f>SUM(B23:B28)</f>
        <v>0</v>
      </c>
      <c r="C29" s="15">
        <f>SUM(C23:C28)</f>
        <v>0</v>
      </c>
      <c r="D29" s="15">
        <f>SUM(D23:D28)</f>
        <v>0</v>
      </c>
      <c r="E29" s="15">
        <f>SUM(E23:E28)</f>
        <v>0</v>
      </c>
      <c r="F29" s="15">
        <f>SUM(F23:F28)</f>
        <v>0</v>
      </c>
      <c r="G29" s="15">
        <f>SUM(G23:G28)</f>
        <v>0</v>
      </c>
      <c r="H29" s="15">
        <f>SUM(H23:H28)</f>
        <v>0</v>
      </c>
      <c r="I29" s="15">
        <f>SUM(I23:I28)</f>
        <v>0</v>
      </c>
    </row>
    <row r="30" spans="1:9" ht="19.5" customHeight="1">
      <c r="A30" s="11" t="s">
        <v>20</v>
      </c>
      <c r="B30" s="12">
        <f>SUM(B22,B29)</f>
        <v>598.68884314240586</v>
      </c>
      <c r="C30" s="12">
        <f>SUM(C22,C29)</f>
        <v>301.70770942238198</v>
      </c>
      <c r="D30" s="12">
        <f>SUM(D22,D29)</f>
        <v>11.749584617724</v>
      </c>
      <c r="E30" s="12">
        <f>SUM(E22,E29)</f>
        <v>503.50117249745853</v>
      </c>
      <c r="F30" s="12">
        <f>SUM(F22,F29)</f>
        <v>448.15133838900499</v>
      </c>
      <c r="G30" s="12">
        <f>SUM(G22,G29)</f>
        <v>845.04381963217463</v>
      </c>
      <c r="H30" s="12">
        <f>SUM(H22,H29)</f>
        <v>2708.8424677011499</v>
      </c>
      <c r="I30" s="12">
        <f>SUM(I22,I29)</f>
        <v>32116.01</v>
      </c>
    </row>
    <row r="31" spans="1:9" ht="15.75" customHeight="1">
      <c r="A31" s="2"/>
      <c r="B31" s="2"/>
      <c r="C31" s="2"/>
      <c r="D31" s="2"/>
      <c r="E31" s="2"/>
      <c r="F31" s="2"/>
      <c r="G31" s="2"/>
      <c r="H31" s="2"/>
      <c r="I31" s="2"/>
    </row>
    <row r="32" spans="1:9" ht="18.75" customHeight="1">
      <c r="A32" s="2"/>
      <c r="B32" s="7" t="s">
        <v>30</v>
      </c>
      <c r="C32" s="7" t="s">
        <v>30</v>
      </c>
      <c r="D32" s="7" t="s">
        <v>30</v>
      </c>
      <c r="E32" s="7" t="s">
        <v>30</v>
      </c>
      <c r="F32" s="7" t="s">
        <v>30</v>
      </c>
      <c r="G32" s="7" t="s">
        <v>30</v>
      </c>
      <c r="H32" s="7" t="s">
        <v>30</v>
      </c>
      <c r="I32" s="7" t="s">
        <v>30</v>
      </c>
    </row>
    <row r="33" spans="1:9">
      <c r="A33" s="2" t="s">
        <v>31</v>
      </c>
      <c r="B33" s="8">
        <f>'Mensual 2026'!C39</f>
        <v>45.205193731549997</v>
      </c>
      <c r="C33" s="8">
        <f>'Mensual 2026'!D39</f>
        <v>34.622342649030003</v>
      </c>
      <c r="D33" s="8">
        <f>'Mensual 2026'!E39</f>
        <v>38.516546232585</v>
      </c>
      <c r="E33" s="8">
        <f>'Mensual 2026'!F39</f>
        <v>36.263229640900008</v>
      </c>
      <c r="F33" s="8">
        <f>'Mensual 2026'!G39</f>
        <v>45.401951718767997</v>
      </c>
      <c r="G33" s="8">
        <f>'Mensual 2026'!H39</f>
        <v>45.887051007935995</v>
      </c>
      <c r="H33" s="8">
        <f>SUM(B33:G33)</f>
        <v>245.89631498076898</v>
      </c>
      <c r="I33" s="9">
        <v>2194.88</v>
      </c>
    </row>
    <row r="34" spans="1:9" ht="18" customHeight="1">
      <c r="A34" s="2" t="s">
        <v>13</v>
      </c>
      <c r="B34" s="8">
        <f>'Mensual 2026'!C40</f>
        <v>396.24467593150001</v>
      </c>
      <c r="C34" s="8">
        <f>'Mensual 2026'!D40</f>
        <v>308.07358947345</v>
      </c>
      <c r="D34" s="8">
        <f>'Mensual 2026'!E40</f>
        <v>344.80900210671007</v>
      </c>
      <c r="E34" s="8">
        <f>'Mensual 2026'!F40</f>
        <v>320.32936581529998</v>
      </c>
      <c r="F34" s="8">
        <f>'Mensual 2026'!G40</f>
        <v>405.3876359159039</v>
      </c>
      <c r="G34" s="8">
        <f>'Mensual 2026'!H40</f>
        <v>413.24933256407991</v>
      </c>
      <c r="H34" s="8">
        <f>SUM(B34:G34)</f>
        <v>2188.0936018069442</v>
      </c>
      <c r="I34" s="9">
        <v>30608.58</v>
      </c>
    </row>
    <row r="35" spans="1:9">
      <c r="A35" s="2" t="s">
        <v>14</v>
      </c>
      <c r="B35" s="8">
        <f>'Mensual 2026'!C41</f>
        <v>539.00604945000009</v>
      </c>
      <c r="C35" s="8">
        <f>'Mensual 2026'!D41</f>
        <v>422.07665362500006</v>
      </c>
      <c r="D35" s="8">
        <f>'Mensual 2026'!E41</f>
        <v>435.10324324499999</v>
      </c>
      <c r="E35" s="8">
        <f>'Mensual 2026'!F41</f>
        <v>476.93718039000004</v>
      </c>
      <c r="F35" s="8">
        <f>'Mensual 2026'!G41</f>
        <v>543.38345028000003</v>
      </c>
      <c r="G35" s="8">
        <f>'Mensual 2026'!H41</f>
        <v>564.01372632000005</v>
      </c>
      <c r="H35" s="8">
        <f>SUM(B35:G35)</f>
        <v>2980.5203033100001</v>
      </c>
      <c r="I35" s="9">
        <v>28867.78</v>
      </c>
    </row>
    <row r="36" spans="1:9">
      <c r="A36" s="2" t="s">
        <v>16</v>
      </c>
      <c r="B36" s="8">
        <f>'Mensual 2026'!C42</f>
        <v>4.5451310876500006</v>
      </c>
      <c r="C36" s="8">
        <f>'Mensual 2026'!D42</f>
        <v>3.3377798194500001</v>
      </c>
      <c r="D36" s="8">
        <f>'Mensual 2026'!E42</f>
        <v>3.7970409158099998</v>
      </c>
      <c r="E36" s="8">
        <f>'Mensual 2026'!F42</f>
        <v>3.4604885027300005</v>
      </c>
      <c r="F36" s="8">
        <f>'Mensual 2026'!G42</f>
        <v>4.3872793072799992</v>
      </c>
      <c r="G36" s="8">
        <f>'Mensual 2026'!H42</f>
        <v>4.3634203235099998</v>
      </c>
      <c r="H36" s="8">
        <f>SUM(B36:G36)</f>
        <v>23.891139956429999</v>
      </c>
      <c r="I36" s="9">
        <v>195.32</v>
      </c>
    </row>
    <row r="37" spans="1:9">
      <c r="A37" s="2" t="s">
        <v>15</v>
      </c>
      <c r="B37" s="8">
        <f>'Mensual 2026'!C43</f>
        <v>30.073776444500002</v>
      </c>
      <c r="C37" s="8">
        <f>'Mensual 2026'!D43</f>
        <v>22.103632168500003</v>
      </c>
      <c r="D37" s="8">
        <f>'Mensual 2026'!E43</f>
        <v>25.113161319300001</v>
      </c>
      <c r="E37" s="8">
        <f>'Mensual 2026'!F43</f>
        <v>22.944026404900001</v>
      </c>
      <c r="F37" s="8">
        <f>'Mensual 2026'!G43</f>
        <v>29.045630330399998</v>
      </c>
      <c r="G37" s="8">
        <f>'Mensual 2026'!H43</f>
        <v>28.9043307303</v>
      </c>
      <c r="H37" s="8">
        <f>SUM(B37:G37)</f>
        <v>158.18455739789999</v>
      </c>
      <c r="I37" s="9">
        <v>1299.54</v>
      </c>
    </row>
    <row r="38" spans="1:9">
      <c r="A38" s="2" t="s">
        <v>17</v>
      </c>
      <c r="B38" s="8">
        <f>'Mensual 2026'!C44</f>
        <v>1.2784974774999999E-2</v>
      </c>
      <c r="C38" s="8">
        <f>'Mensual 2026'!D44</f>
        <v>9.7944477645000028E-3</v>
      </c>
      <c r="D38" s="8">
        <f>'Mensual 2026'!E44</f>
        <v>1.04460022737E-2</v>
      </c>
      <c r="E38" s="8">
        <f>'Mensual 2026'!F44</f>
        <v>1.0762474277E-2</v>
      </c>
      <c r="F38" s="8">
        <f>'Mensual 2026'!G44</f>
        <v>1.26978564552E-2</v>
      </c>
      <c r="G38" s="8">
        <f>'Mensual 2026'!H44</f>
        <v>1.29932503092E-2</v>
      </c>
      <c r="H38" s="8">
        <f>SUM(B38:G38)</f>
        <v>6.9479005854599998E-2</v>
      </c>
      <c r="I38" s="9">
        <v>0.63</v>
      </c>
    </row>
    <row r="39" spans="1:9" ht="18" customHeight="1">
      <c r="A39" s="2" t="s">
        <v>18</v>
      </c>
      <c r="B39" s="8">
        <f>'Mensual 2026'!C45</f>
        <v>192468.10565813922</v>
      </c>
      <c r="C39" s="8">
        <f>'Mensual 2026'!D45</f>
        <v>145959.33812524687</v>
      </c>
      <c r="D39" s="8">
        <f>'Mensual 2026'!E45</f>
        <v>158117.90355814918</v>
      </c>
      <c r="E39" s="8">
        <f>'Mensual 2026'!F45</f>
        <v>158248.28733855882</v>
      </c>
      <c r="F39" s="8">
        <f>'Mensual 2026'!G45</f>
        <v>189846.76886327594</v>
      </c>
      <c r="G39" s="8">
        <f>'Mensual 2026'!H45</f>
        <v>192965.46295860028</v>
      </c>
      <c r="H39" s="8">
        <f>SUM(B39:G39)</f>
        <v>1037605.8665019703</v>
      </c>
      <c r="I39" s="10" t="s">
        <v>19</v>
      </c>
    </row>
    <row r="40" spans="1:9" ht="15.75" customHeight="1">
      <c r="A40" s="11" t="s">
        <v>22</v>
      </c>
      <c r="B40" s="16">
        <f>SUM(B33:B38)</f>
        <v>1015.0876116199751</v>
      </c>
      <c r="C40" s="16">
        <f>SUM(C33:C38)</f>
        <v>790.22379218319463</v>
      </c>
      <c r="D40" s="16">
        <f>SUM(D33:D38)</f>
        <v>847.34943982167897</v>
      </c>
      <c r="E40" s="16">
        <f>SUM(E33:E38)</f>
        <v>859.94505322810699</v>
      </c>
      <c r="F40" s="16">
        <f>SUM(F33:F38)</f>
        <v>1027.618645408807</v>
      </c>
      <c r="G40" s="16">
        <f>SUM(G33:G38)</f>
        <v>1056.430854196135</v>
      </c>
      <c r="H40" s="16">
        <f>SUM(H33:H38)</f>
        <v>5596.655396457898</v>
      </c>
      <c r="I40" s="16">
        <f>SUM(I33:I38)</f>
        <v>63166.729999999996</v>
      </c>
    </row>
    <row r="41" spans="1:9">
      <c r="A41" s="2" t="s">
        <v>23</v>
      </c>
      <c r="B41" s="8">
        <v>0</v>
      </c>
      <c r="C41" s="8">
        <v>0</v>
      </c>
      <c r="D41" s="8">
        <v>0</v>
      </c>
      <c r="E41" s="8">
        <v>0</v>
      </c>
      <c r="F41" s="8">
        <v>0</v>
      </c>
      <c r="G41" s="8">
        <v>0</v>
      </c>
      <c r="H41" s="8">
        <f>SUM(B41:G41)</f>
        <v>0</v>
      </c>
      <c r="I41" s="10" t="s">
        <v>19</v>
      </c>
    </row>
    <row r="42" spans="1:9">
      <c r="A42" s="2" t="s">
        <v>24</v>
      </c>
      <c r="B42" s="8">
        <v>0</v>
      </c>
      <c r="C42" s="8">
        <v>0</v>
      </c>
      <c r="D42" s="8">
        <v>0</v>
      </c>
      <c r="E42" s="8">
        <v>0</v>
      </c>
      <c r="F42" s="8">
        <v>0</v>
      </c>
      <c r="G42" s="8">
        <v>0</v>
      </c>
      <c r="H42" s="8">
        <f>SUM(B42:G42)</f>
        <v>0</v>
      </c>
      <c r="I42" s="10" t="s">
        <v>19</v>
      </c>
    </row>
    <row r="43" spans="1:9">
      <c r="A43" s="2" t="s">
        <v>25</v>
      </c>
      <c r="B43" s="8">
        <v>0</v>
      </c>
      <c r="C43" s="8">
        <v>0</v>
      </c>
      <c r="D43" s="8">
        <v>0</v>
      </c>
      <c r="E43" s="8">
        <v>0</v>
      </c>
      <c r="F43" s="8">
        <v>0</v>
      </c>
      <c r="G43" s="8">
        <v>0</v>
      </c>
      <c r="H43" s="8">
        <f>SUM(B43:G43)</f>
        <v>0</v>
      </c>
      <c r="I43" s="10" t="s">
        <v>19</v>
      </c>
    </row>
    <row r="44" spans="1:9">
      <c r="A44" s="2" t="s">
        <v>32</v>
      </c>
      <c r="B44" s="8">
        <v>0</v>
      </c>
      <c r="C44" s="8">
        <v>0</v>
      </c>
      <c r="D44" s="8">
        <v>0</v>
      </c>
      <c r="E44" s="8">
        <v>0</v>
      </c>
      <c r="F44" s="8">
        <v>0</v>
      </c>
      <c r="G44" s="8">
        <v>0</v>
      </c>
      <c r="H44" s="8">
        <f>SUM(B44:G44)</f>
        <v>0</v>
      </c>
      <c r="I44" s="10" t="s">
        <v>19</v>
      </c>
    </row>
    <row r="45" spans="1:9">
      <c r="A45" s="2" t="s">
        <v>28</v>
      </c>
      <c r="B45" s="8">
        <v>0</v>
      </c>
      <c r="C45" s="8">
        <v>0</v>
      </c>
      <c r="D45" s="8">
        <v>0</v>
      </c>
      <c r="E45" s="8">
        <v>0</v>
      </c>
      <c r="F45" s="8">
        <v>0</v>
      </c>
      <c r="G45" s="8">
        <v>0</v>
      </c>
      <c r="H45" s="8">
        <f>SUM(B45:G45)</f>
        <v>0</v>
      </c>
      <c r="I45" s="10" t="s">
        <v>19</v>
      </c>
    </row>
    <row r="46" spans="1:9">
      <c r="A46" s="11" t="s">
        <v>29</v>
      </c>
      <c r="B46" s="15">
        <f>SUM(B41:B45)</f>
        <v>0</v>
      </c>
      <c r="C46" s="15">
        <f>SUM(C41:C45)</f>
        <v>0</v>
      </c>
      <c r="D46" s="15">
        <f>SUM(D41:D45)</f>
        <v>0</v>
      </c>
      <c r="E46" s="15">
        <f>SUM(E41:E45)</f>
        <v>0</v>
      </c>
      <c r="F46" s="15">
        <f>SUM(F41:F45)</f>
        <v>0</v>
      </c>
      <c r="G46" s="15">
        <f>SUM(G41:G45)</f>
        <v>0</v>
      </c>
      <c r="H46" s="15">
        <f>SUM(H41:H45)</f>
        <v>0</v>
      </c>
      <c r="I46" s="15">
        <f>SUM(I41:I45)</f>
        <v>0</v>
      </c>
    </row>
    <row r="47" spans="1:9" ht="19.5" customHeight="1">
      <c r="A47" s="11" t="s">
        <v>20</v>
      </c>
      <c r="B47" s="12">
        <f>SUM(B46,B40)</f>
        <v>1015.0876116199751</v>
      </c>
      <c r="C47" s="12">
        <f>SUM(C46,C40)</f>
        <v>790.22379218319463</v>
      </c>
      <c r="D47" s="12">
        <f>SUM(D46,D40)</f>
        <v>847.34943982167897</v>
      </c>
      <c r="E47" s="12">
        <f>SUM(E46,E40)</f>
        <v>859.94505322810699</v>
      </c>
      <c r="F47" s="12">
        <f>SUM(F46,F40)</f>
        <v>1027.618645408807</v>
      </c>
      <c r="G47" s="12">
        <f>SUM(G46,G40)</f>
        <v>1056.430854196135</v>
      </c>
      <c r="H47" s="12">
        <f>SUM(H46,H40)</f>
        <v>5596.655396457898</v>
      </c>
      <c r="I47" s="12">
        <f>SUM(I46,I40)</f>
        <v>63166.729999999996</v>
      </c>
    </row>
    <row r="48" spans="1:9" ht="15.75" customHeight="1">
      <c r="A48" s="2"/>
      <c r="B48" s="2"/>
      <c r="C48" s="2"/>
      <c r="D48" s="2"/>
      <c r="E48" s="2"/>
      <c r="F48" s="2"/>
      <c r="G48" s="2"/>
      <c r="H48" s="2"/>
      <c r="I48" s="2"/>
    </row>
    <row r="49" spans="1:9" ht="18.75" customHeight="1">
      <c r="A49" s="2"/>
      <c r="B49" s="7" t="s">
        <v>33</v>
      </c>
      <c r="C49" s="7" t="s">
        <v>33</v>
      </c>
      <c r="D49" s="7" t="s">
        <v>33</v>
      </c>
      <c r="E49" s="7" t="s">
        <v>33</v>
      </c>
      <c r="F49" s="7" t="s">
        <v>33</v>
      </c>
      <c r="G49" s="7" t="s">
        <v>33</v>
      </c>
      <c r="H49" s="7" t="s">
        <v>33</v>
      </c>
      <c r="I49" s="7" t="s">
        <v>33</v>
      </c>
    </row>
    <row r="50" spans="1:9">
      <c r="A50" s="2" t="s">
        <v>11</v>
      </c>
      <c r="B50" s="8">
        <f>'Mensual 2026'!C15</f>
        <v>7.8217207847499992</v>
      </c>
      <c r="C50" s="8">
        <f>'Mensual 2026'!D15</f>
        <v>22.224863915</v>
      </c>
      <c r="D50" s="8">
        <f>'Mensual 2026'!E15</f>
        <v>19.98405600561</v>
      </c>
      <c r="E50" s="8">
        <f>'Mensual 2026'!F15</f>
        <v>8.3705581404</v>
      </c>
      <c r="F50" s="8">
        <f>'Mensual 2026'!G15</f>
        <v>19.539109700250002</v>
      </c>
      <c r="G50" s="8">
        <f>'Mensual 2026'!H15</f>
        <v>15.64151249871</v>
      </c>
      <c r="H50" s="8">
        <f>SUM(B50:G50)</f>
        <v>93.581821044720002</v>
      </c>
      <c r="I50" s="9">
        <v>590</v>
      </c>
    </row>
    <row r="51" spans="1:9" ht="18" customHeight="1">
      <c r="A51" s="2" t="s">
        <v>12</v>
      </c>
      <c r="B51" s="8">
        <f>'Mensual 2026'!C16</f>
        <v>12.365071413119999</v>
      </c>
      <c r="C51" s="8">
        <f>'Mensual 2026'!D16</f>
        <v>32.642573894999998</v>
      </c>
      <c r="D51" s="8">
        <f>'Mensual 2026'!E16</f>
        <v>30.5805128175882</v>
      </c>
      <c r="E51" s="8">
        <f>'Mensual 2026'!F16</f>
        <v>13.469096743847999</v>
      </c>
      <c r="F51" s="8">
        <f>'Mensual 2026'!G16</f>
        <v>29.721732148080001</v>
      </c>
      <c r="G51" s="8">
        <f>'Mensual 2026'!H16</f>
        <v>24.558257703760198</v>
      </c>
      <c r="H51" s="8">
        <f>SUM(B51:G51)</f>
        <v>143.33724472139639</v>
      </c>
      <c r="I51" s="9">
        <v>1038</v>
      </c>
    </row>
    <row r="52" spans="1:9" ht="18" customHeight="1">
      <c r="A52" s="2" t="s">
        <v>34</v>
      </c>
      <c r="B52" s="8">
        <f>'Mensual 2026'!C17</f>
        <v>11.177535214499999</v>
      </c>
      <c r="C52" s="8">
        <f>'Mensual 2026'!D17</f>
        <v>27.241895522999997</v>
      </c>
      <c r="D52" s="8">
        <f>'Mensual 2026'!E17</f>
        <v>26.723847135915001</v>
      </c>
      <c r="E52" s="8">
        <f>'Mensual 2026'!F17</f>
        <v>12.390461076599999</v>
      </c>
      <c r="F52" s="8">
        <f>'Mensual 2026'!G17</f>
        <v>25.806266545500002</v>
      </c>
      <c r="G52" s="8">
        <f>'Mensual 2026'!H17</f>
        <v>22.046183365814997</v>
      </c>
      <c r="H52" s="8">
        <f>SUM(B52:G52)</f>
        <v>125.38618886133001</v>
      </c>
      <c r="I52" s="9">
        <v>803</v>
      </c>
    </row>
    <row r="53" spans="1:9">
      <c r="A53" s="2" t="s">
        <v>35</v>
      </c>
      <c r="B53" s="8">
        <f>'Mensual 2026'!C18</f>
        <v>37.873691702899997</v>
      </c>
      <c r="C53" s="8">
        <f>'Mensual 2026'!D18</f>
        <v>364.98374619160001</v>
      </c>
      <c r="D53" s="8">
        <f>'Mensual 2026'!E18</f>
        <v>205.36598341648801</v>
      </c>
      <c r="E53" s="8">
        <f>'Mensual 2026'!F18</f>
        <v>16.32634890912</v>
      </c>
      <c r="F53" s="8">
        <f>'Mensual 2026'!G18</f>
        <v>224.02043127449997</v>
      </c>
      <c r="G53" s="8">
        <f>'Mensual 2026'!H18</f>
        <v>93.175721994767983</v>
      </c>
      <c r="H53" s="8">
        <f>SUM(B53:G53)</f>
        <v>941.74592348937597</v>
      </c>
      <c r="I53" s="9">
        <v>9884</v>
      </c>
    </row>
    <row r="54" spans="1:9">
      <c r="A54" s="2" t="s">
        <v>14</v>
      </c>
      <c r="B54" s="8">
        <f>'Mensual 2026'!C19</f>
        <v>441.55713479500002</v>
      </c>
      <c r="C54" s="8">
        <f>'Mensual 2026'!D19</f>
        <v>392.07313459999995</v>
      </c>
      <c r="D54" s="8">
        <f>'Mensual 2026'!E19</f>
        <v>778.00233564270002</v>
      </c>
      <c r="E54" s="8">
        <f>'Mensual 2026'!F19</f>
        <v>554.36726242799989</v>
      </c>
      <c r="F54" s="8">
        <f>'Mensual 2026'!G19</f>
        <v>699.09805990500001</v>
      </c>
      <c r="G54" s="8">
        <f>'Mensual 2026'!H19</f>
        <v>824.56230193469992</v>
      </c>
      <c r="H54" s="8">
        <f>SUM(B54:G54)</f>
        <v>3689.6602293053998</v>
      </c>
      <c r="I54" s="9">
        <v>10521</v>
      </c>
    </row>
    <row r="55" spans="1:9">
      <c r="A55" s="2" t="s">
        <v>16</v>
      </c>
      <c r="B55" s="8">
        <f>'Mensual 2026'!C20</f>
        <v>1.04291260021</v>
      </c>
      <c r="C55" s="8">
        <f>'Mensual 2026'!D20</f>
        <v>1.2655853678</v>
      </c>
      <c r="D55" s="8">
        <f>'Mensual 2026'!E20</f>
        <v>1.9753963178976002</v>
      </c>
      <c r="E55" s="8">
        <f>'Mensual 2026'!F20</f>
        <v>1.2771479672640003</v>
      </c>
      <c r="F55" s="8">
        <f>'Mensual 2026'!G20</f>
        <v>1.8102049683899999</v>
      </c>
      <c r="G55" s="8">
        <f>'Mensual 2026'!H20</f>
        <v>1.9705371894935999</v>
      </c>
      <c r="H55" s="8">
        <f>SUM(B55:G55)</f>
        <v>9.3417844110551993</v>
      </c>
      <c r="I55" s="9">
        <v>36</v>
      </c>
    </row>
    <row r="56" spans="1:9">
      <c r="A56" s="2" t="s">
        <v>15</v>
      </c>
      <c r="B56" s="8">
        <f>'Mensual 2026'!C21</f>
        <v>11.004479171099998</v>
      </c>
      <c r="C56" s="8">
        <f>'Mensual 2026'!D21</f>
        <v>6.2399312927999997</v>
      </c>
      <c r="D56" s="8">
        <f>'Mensual 2026'!E21</f>
        <v>17.955879589097997</v>
      </c>
      <c r="E56" s="8">
        <f>'Mensual 2026'!F21</f>
        <v>14.150921098319998</v>
      </c>
      <c r="F56" s="8">
        <f>'Mensual 2026'!G21</f>
        <v>15.769235178900001</v>
      </c>
      <c r="G56" s="8">
        <f>'Mensual 2026'!H21</f>
        <v>20.310467713577996</v>
      </c>
      <c r="H56" s="8">
        <f>SUM(B56:G56)</f>
        <v>85.43091404379598</v>
      </c>
      <c r="I56" s="9">
        <v>388</v>
      </c>
    </row>
    <row r="57" spans="1:9" ht="18" customHeight="1">
      <c r="A57" s="2" t="s">
        <v>36</v>
      </c>
      <c r="B57" s="8">
        <f>'Mensual 2026'!C22</f>
        <v>2.0333715746509995</v>
      </c>
      <c r="C57" s="8">
        <f>'Mensual 2026'!D22</f>
        <v>16.854304608039996</v>
      </c>
      <c r="D57" s="8">
        <f>'Mensual 2026'!E22</f>
        <v>9.6915367857324597</v>
      </c>
      <c r="E57" s="8">
        <f>'Mensual 2026'!F22</f>
        <v>1.1252900982743999</v>
      </c>
      <c r="F57" s="8">
        <f>'Mensual 2026'!G22</f>
        <v>10.266545209808999</v>
      </c>
      <c r="G57" s="8">
        <f>'Mensual 2026'!H22</f>
        <v>4.8167248453140594</v>
      </c>
      <c r="H57" s="8">
        <f>SUM(B57:G57)</f>
        <v>44.787773121820905</v>
      </c>
      <c r="I57" s="9">
        <v>469</v>
      </c>
    </row>
    <row r="58" spans="1:9">
      <c r="A58" s="2" t="s">
        <v>17</v>
      </c>
      <c r="B58" s="8">
        <f>'Mensual 2026'!C23</f>
        <v>3.1149852205499993E-4</v>
      </c>
      <c r="C58" s="8">
        <f>'Mensual 2026'!D23</f>
        <v>3.4208125597799993E-3</v>
      </c>
      <c r="D58" s="8">
        <f>'Mensual 2026'!E23</f>
        <v>1.8251947539E-3</v>
      </c>
      <c r="E58" s="8">
        <f>'Mensual 2026'!F23</f>
        <v>9.2811090959999992E-5</v>
      </c>
      <c r="F58" s="8">
        <f>'Mensual 2026'!G23</f>
        <v>1.9655882136449996E-3</v>
      </c>
      <c r="G58" s="8">
        <f>'Mensual 2026'!H23</f>
        <v>7.947242811899999E-4</v>
      </c>
      <c r="H58" s="8">
        <f>SUM(B58:G58)</f>
        <v>8.4106294215299995E-3</v>
      </c>
      <c r="I58" s="9">
        <v>0.08</v>
      </c>
    </row>
    <row r="59" spans="1:9">
      <c r="A59" s="2" t="s">
        <v>37</v>
      </c>
      <c r="B59" s="8">
        <f>('Tasas 2026'!C118*'CS 5'!$C$14+'Tasas 2026'!C119*'CS 5'!$B$14+'Tasas 2026'!C120*'CS6'!$C$14+'Tasas 2026'!C121*'CS6'!$B$14)/2000</f>
        <v>0</v>
      </c>
      <c r="C59" s="8">
        <f>('Tasas 2026'!D118*'CS 5'!$C$14+'Tasas 2026'!D119*'CS 5'!$B$14+'Tasas 2026'!D120*'CS6'!$C$14+'Tasas 2026'!D121*'CS6'!$B$14)/2000</f>
        <v>0</v>
      </c>
      <c r="D59" s="8">
        <f>('Tasas 2026'!E118*'CS 5'!$C$14+'Tasas 2026'!E119*'CS 5'!$B$14+'Tasas 2026'!E120*'CS6'!$C$14+'Tasas 2026'!E121*'CS6'!$B$14)/2000</f>
        <v>0</v>
      </c>
      <c r="E59" s="8">
        <f>('Tasas 2026'!F118*'CS 5'!$C$14+'Tasas 2026'!F119*'CS 5'!$B$14+'Tasas 2026'!F120*'CS6'!$C$14+'Tasas 2026'!F121*'CS6'!$B$14)/2000</f>
        <v>0</v>
      </c>
      <c r="F59" s="8">
        <f>('Tasas 2026'!G118*'CS 5'!$C$14+'Tasas 2026'!G119*'CS 5'!$B$14+'Tasas 2026'!G120*'CS6'!$C$14+'Tasas 2026'!G121*'CS6'!$B$14)/2000</f>
        <v>0</v>
      </c>
      <c r="G59" s="8">
        <f>('Tasas 2026'!H118*'CS 5'!$C$14+'Tasas 2026'!H119*'CS 5'!$B$14+'Tasas 2026'!H120*'CS6'!$C$14+'Tasas 2026'!H121*'CS6'!$B$14)/2000</f>
        <v>0</v>
      </c>
      <c r="H59" s="8">
        <f>SUM(B59:G59)</f>
        <v>0</v>
      </c>
      <c r="I59" s="9">
        <v>0</v>
      </c>
    </row>
    <row r="60" spans="1:9">
      <c r="A60" s="2" t="s">
        <v>18</v>
      </c>
      <c r="B60" s="8">
        <f>'Mensual 2026'!C24</f>
        <v>149862.55175399021</v>
      </c>
      <c r="C60" s="8">
        <f>'Mensual 2026'!D24</f>
        <v>166376.97412001941</v>
      </c>
      <c r="D60" s="8">
        <f>'Mensual 2026'!E24</f>
        <v>279191.76903727918</v>
      </c>
      <c r="E60" s="8">
        <f>'Mensual 2026'!F24</f>
        <v>184611.47063273174</v>
      </c>
      <c r="F60" s="8">
        <f>'Mensual 2026'!G24</f>
        <v>254737.80551084192</v>
      </c>
      <c r="G60" s="8">
        <f>'Mensual 2026'!H24</f>
        <v>282380.01012588246</v>
      </c>
      <c r="H60" s="8">
        <f>SUM(B60:G60)</f>
        <v>1317160.5811807448</v>
      </c>
      <c r="I60" s="10" t="s">
        <v>19</v>
      </c>
    </row>
    <row r="61" spans="1:9" ht="19.5" customHeight="1">
      <c r="A61" s="11" t="s">
        <v>20</v>
      </c>
      <c r="B61" s="12">
        <f>SUM(B50:B59)</f>
        <v>524.87622875475301</v>
      </c>
      <c r="C61" s="12">
        <f>SUM(C50:C59)</f>
        <v>863.52945620579965</v>
      </c>
      <c r="D61" s="12">
        <f>SUM(D50:D59)</f>
        <v>1090.2813729057832</v>
      </c>
      <c r="E61" s="12">
        <f>SUM(E50:E59)</f>
        <v>621.47717927291717</v>
      </c>
      <c r="F61" s="12">
        <f>SUM(F50:F59)</f>
        <v>1026.0335505186426</v>
      </c>
      <c r="G61" s="12">
        <f>SUM(G50:G59)</f>
        <v>1007.0825019704199</v>
      </c>
      <c r="H61" s="12">
        <f>SUM(H50:H59)</f>
        <v>5133.2802896283165</v>
      </c>
      <c r="I61" s="12">
        <f>SUM(I50:I59)</f>
        <v>23729.08</v>
      </c>
    </row>
    <row r="62" spans="1:9" ht="15.75" customHeight="1">
      <c r="A62" s="2"/>
      <c r="B62" s="2"/>
      <c r="C62" s="2"/>
      <c r="D62" s="2"/>
      <c r="E62" s="2"/>
      <c r="F62" s="2"/>
      <c r="G62" s="2"/>
      <c r="H62" s="2"/>
      <c r="I62" s="2"/>
    </row>
    <row r="63" spans="1:9" ht="18.75" customHeight="1">
      <c r="A63" s="2"/>
      <c r="B63" s="7" t="s">
        <v>38</v>
      </c>
      <c r="C63" s="7" t="s">
        <v>38</v>
      </c>
      <c r="D63" s="7" t="s">
        <v>38</v>
      </c>
      <c r="E63" s="7" t="s">
        <v>38</v>
      </c>
      <c r="F63" s="7" t="s">
        <v>38</v>
      </c>
      <c r="G63" s="7" t="s">
        <v>38</v>
      </c>
      <c r="H63" s="7" t="s">
        <v>38</v>
      </c>
      <c r="I63" s="7" t="s">
        <v>38</v>
      </c>
    </row>
    <row r="64" spans="1:9" ht="18" customHeight="1">
      <c r="A64" s="2" t="s">
        <v>12</v>
      </c>
      <c r="B64" s="8">
        <f>'Mensual 2026'!C63</f>
        <v>0.45900000000000002</v>
      </c>
      <c r="C64" s="8">
        <f>'Mensual 2026'!D63</f>
        <v>0.86699999999999999</v>
      </c>
      <c r="D64" s="8">
        <f>'Mensual 2026'!E63</f>
        <v>2.4224999999999999</v>
      </c>
      <c r="E64" s="8">
        <f>'Mensual 2026'!F63</f>
        <v>6.3239999999999998</v>
      </c>
      <c r="F64" s="8">
        <f>'Mensual 2026'!G63</f>
        <v>4.8959999999999999</v>
      </c>
      <c r="G64" s="8">
        <f>'Mensual 2026'!H63</f>
        <v>5.1255000000000006</v>
      </c>
      <c r="H64" s="8">
        <f>SUM(B64:G64)</f>
        <v>20.094000000000001</v>
      </c>
      <c r="I64" s="9">
        <v>670</v>
      </c>
    </row>
    <row r="65" spans="1:9">
      <c r="A65" s="2" t="s">
        <v>35</v>
      </c>
      <c r="B65" s="8">
        <f>'Mensual 2026'!C64</f>
        <v>1.2330000000000001</v>
      </c>
      <c r="C65" s="8">
        <f>'Mensual 2026'!D64</f>
        <v>2.3290000000000002</v>
      </c>
      <c r="D65" s="8">
        <f>'Mensual 2026'!E64</f>
        <v>6.5075000000000003</v>
      </c>
      <c r="E65" s="8">
        <f>'Mensual 2026'!F64</f>
        <v>16.988</v>
      </c>
      <c r="F65" s="8">
        <f>'Mensual 2026'!G64</f>
        <v>13.151999999999999</v>
      </c>
      <c r="G65" s="8">
        <f>'Mensual 2026'!H64</f>
        <v>13.7685</v>
      </c>
      <c r="H65" s="8">
        <f>SUM(B65:G65)</f>
        <v>53.977999999999994</v>
      </c>
      <c r="I65" s="9">
        <v>1800</v>
      </c>
    </row>
    <row r="66" spans="1:9">
      <c r="A66" s="2" t="s">
        <v>14</v>
      </c>
      <c r="B66" s="8">
        <f>'Mensual 2026'!C65</f>
        <v>2.43405</v>
      </c>
      <c r="C66" s="8">
        <f>'Mensual 2026'!D65</f>
        <v>3.3974499999999996</v>
      </c>
      <c r="D66" s="8">
        <f>'Mensual 2026'!E65</f>
        <v>9.5057999999999989</v>
      </c>
      <c r="E66" s="8">
        <f>'Mensual 2026'!F65</f>
        <v>14.7476</v>
      </c>
      <c r="F66" s="8">
        <f>'Mensual 2026'!G65</f>
        <v>14.131550000000001</v>
      </c>
      <c r="G66" s="8">
        <f>'Mensual 2026'!H65</f>
        <v>12.42535</v>
      </c>
      <c r="H66" s="8">
        <f>SUM(B66:G66)</f>
        <v>56.641799999999996</v>
      </c>
      <c r="I66" s="9">
        <v>1801</v>
      </c>
    </row>
    <row r="67" spans="1:9">
      <c r="A67" s="2" t="s">
        <v>16</v>
      </c>
      <c r="B67" s="8">
        <f>'Mensual 2026'!C66</f>
        <v>0.105</v>
      </c>
      <c r="C67" s="8">
        <f>'Mensual 2026'!D66</f>
        <v>0.20699999999999999</v>
      </c>
      <c r="D67" s="8">
        <f>'Mensual 2026'!E66</f>
        <v>0.58850000000000002</v>
      </c>
      <c r="E67" s="8">
        <f>'Mensual 2026'!F66</f>
        <v>1.4689999999999999</v>
      </c>
      <c r="F67" s="8">
        <f>'Mensual 2026'!G66</f>
        <v>1.1419999999999999</v>
      </c>
      <c r="G67" s="8">
        <f>'Mensual 2026'!H66</f>
        <v>1.2484999999999999</v>
      </c>
      <c r="H67" s="8">
        <f>SUM(B67:G67)</f>
        <v>4.76</v>
      </c>
      <c r="I67" s="9">
        <v>180</v>
      </c>
    </row>
    <row r="68" spans="1:9">
      <c r="A68" s="2" t="s">
        <v>15</v>
      </c>
      <c r="B68" s="8">
        <f>'Mensual 2026'!C67</f>
        <v>0.64900000000000002</v>
      </c>
      <c r="C68" s="8">
        <f>'Mensual 2026'!D67</f>
        <v>0.71799999999999997</v>
      </c>
      <c r="D68" s="8">
        <f>'Mensual 2026'!E67</f>
        <v>2.2025000000000001</v>
      </c>
      <c r="E68" s="8">
        <f>'Mensual 2026'!F67</f>
        <v>3.37</v>
      </c>
      <c r="F68" s="8">
        <f>'Mensual 2026'!G67</f>
        <v>3.6739999999999999</v>
      </c>
      <c r="G68" s="8">
        <f>'Mensual 2026'!H67</f>
        <v>2.4855</v>
      </c>
      <c r="H68" s="8">
        <f>SUM(B68:G68)</f>
        <v>13.099</v>
      </c>
      <c r="I68" s="9">
        <v>713</v>
      </c>
    </row>
    <row r="69" spans="1:9">
      <c r="A69" s="2" t="s">
        <v>17</v>
      </c>
      <c r="B69" s="8">
        <f>'Mensual 2026'!C68</f>
        <v>1.65E-4</v>
      </c>
      <c r="C69" s="8">
        <f>'Mensual 2026'!D68</f>
        <v>3.4199999999999996E-4</v>
      </c>
      <c r="D69" s="8">
        <f>'Mensual 2026'!E68</f>
        <v>9.9099999999999991E-4</v>
      </c>
      <c r="E69" s="8">
        <f>'Mensual 2026'!F68</f>
        <v>2.3515000000000003E-3</v>
      </c>
      <c r="F69" s="8">
        <f>'Mensual 2026'!G68</f>
        <v>1.8370000000000001E-3</v>
      </c>
      <c r="G69" s="8">
        <f>'Mensual 2026'!H68</f>
        <v>2.1085000000000001E-3</v>
      </c>
      <c r="H69" s="8">
        <f>SUM(B69:G69)</f>
        <v>7.7950000000000007E-3</v>
      </c>
      <c r="I69" s="9">
        <v>0.3</v>
      </c>
    </row>
    <row r="70" spans="1:9">
      <c r="A70" s="2" t="s">
        <v>18</v>
      </c>
      <c r="B70" s="8">
        <f>'Mensual 2026'!C69</f>
        <v>1691.2027274300769</v>
      </c>
      <c r="C70" s="8">
        <f>'Mensual 2026'!D69</f>
        <v>2764.8793020000003</v>
      </c>
      <c r="D70" s="8">
        <f>'Mensual 2026'!E69</f>
        <v>8825.051571</v>
      </c>
      <c r="E70" s="8">
        <f>'Mensual 2026'!F69</f>
        <v>17324.55096</v>
      </c>
      <c r="F70" s="8">
        <f>'Mensual 2026'!G69</f>
        <v>14868.606432</v>
      </c>
      <c r="G70" s="8">
        <f>'Mensual 2026'!H69</f>
        <v>14396.500452</v>
      </c>
      <c r="H70" s="8">
        <f>SUM(B70:G70)</f>
        <v>59870.791444430077</v>
      </c>
      <c r="I70" s="10" t="s">
        <v>19</v>
      </c>
    </row>
    <row r="71" spans="1:9" ht="19.5" customHeight="1">
      <c r="A71" s="11" t="s">
        <v>20</v>
      </c>
      <c r="B71" s="12">
        <f>SUM(B64:B69)</f>
        <v>4.8802150000000006</v>
      </c>
      <c r="C71" s="12">
        <f>SUM(C64:C69)</f>
        <v>7.5187919999999995</v>
      </c>
      <c r="D71" s="12">
        <f>SUM(D64:D69)</f>
        <v>21.227791</v>
      </c>
      <c r="E71" s="12">
        <f>SUM(E64:E69)</f>
        <v>42.900951499999998</v>
      </c>
      <c r="F71" s="12">
        <f>SUM(F64:F69)</f>
        <v>36.997387000000003</v>
      </c>
      <c r="G71" s="12">
        <f>SUM(G64:G69)</f>
        <v>35.0554585</v>
      </c>
      <c r="H71" s="12">
        <f>SUM(H64:H69)</f>
        <v>148.58059499999996</v>
      </c>
      <c r="I71" s="12">
        <f>SUM(I64:I69)</f>
        <v>5164.3</v>
      </c>
    </row>
    <row r="72" spans="1:9" ht="15.75" customHeight="1">
      <c r="A72" s="2"/>
      <c r="B72" s="2"/>
      <c r="C72" s="2"/>
      <c r="D72" s="2"/>
      <c r="E72" s="2"/>
      <c r="F72" s="2"/>
      <c r="G72" s="2"/>
      <c r="H72" s="2"/>
      <c r="I72" s="2"/>
    </row>
    <row r="73" spans="1:9" ht="18.75" customHeight="1">
      <c r="A73" s="2"/>
      <c r="B73" s="7" t="s">
        <v>39</v>
      </c>
      <c r="C73" s="7" t="s">
        <v>39</v>
      </c>
      <c r="D73" s="7" t="s">
        <v>39</v>
      </c>
      <c r="E73" s="7" t="s">
        <v>39</v>
      </c>
      <c r="F73" s="7" t="s">
        <v>39</v>
      </c>
      <c r="G73" s="7" t="s">
        <v>39</v>
      </c>
      <c r="H73" s="7" t="s">
        <v>39</v>
      </c>
      <c r="I73" s="7" t="s">
        <v>39</v>
      </c>
    </row>
    <row r="74" spans="1:9">
      <c r="A74" s="2" t="s">
        <v>11</v>
      </c>
      <c r="B74" s="8">
        <f>'Mensual 2026'!C108</f>
        <v>0.58587292800000013</v>
      </c>
      <c r="C74" s="8">
        <f>'Mensual 2026'!D108</f>
        <v>0.49734565200000008</v>
      </c>
      <c r="D74" s="8">
        <f>'Mensual 2026'!E108</f>
        <v>0.70287595200000008</v>
      </c>
      <c r="E74" s="8">
        <f>'Mensual 2026'!F108</f>
        <v>0.6304963320000001</v>
      </c>
      <c r="F74" s="8">
        <f>'Mensual 2026'!G108</f>
        <v>0.53846992800000004</v>
      </c>
      <c r="G74" s="8">
        <f>'Mensual 2026'!H108</f>
        <v>0.91730476800000005</v>
      </c>
      <c r="H74" s="8">
        <f>SUM(B74:G74)</f>
        <v>3.8723655600000009</v>
      </c>
      <c r="I74" s="9">
        <v>83.1</v>
      </c>
    </row>
    <row r="75" spans="1:9">
      <c r="A75" s="2" t="s">
        <v>35</v>
      </c>
      <c r="B75" s="8">
        <f>'Mensual 2026'!C109</f>
        <v>4.9310971440000018E-2</v>
      </c>
      <c r="C75" s="8">
        <f>'Mensual 2026'!D109</f>
        <v>0.41859925710000001</v>
      </c>
      <c r="D75" s="8">
        <f>'Mensual 2026'!E109</f>
        <v>0.59158725960000003</v>
      </c>
      <c r="E75" s="8">
        <f>'Mensual 2026'!F109</f>
        <v>0.5306677461</v>
      </c>
      <c r="F75" s="8">
        <f>'Mensual 2026'!G109</f>
        <v>0.45321218940000002</v>
      </c>
      <c r="G75" s="8">
        <f>'Mensual 2026'!H109</f>
        <v>0.77206484639999995</v>
      </c>
      <c r="H75" s="8">
        <f>SUM(B75:G75)</f>
        <v>2.8154422700400001</v>
      </c>
      <c r="I75" s="9">
        <v>304.82</v>
      </c>
    </row>
    <row r="76" spans="1:9">
      <c r="A76" s="2" t="s">
        <v>14</v>
      </c>
      <c r="B76" s="8">
        <f>'Mensual 2026'!C110</f>
        <v>14.043262599492838</v>
      </c>
      <c r="C76" s="8">
        <f>'Mensual 2026'!D110</f>
        <v>11.921280639463134</v>
      </c>
      <c r="D76" s="8">
        <f>'Mensual 2026'!E110</f>
        <v>16.847802820485541</v>
      </c>
      <c r="E76" s="8">
        <f>'Mensual 2026'!F110</f>
        <v>15.112877102068486</v>
      </c>
      <c r="F76" s="8">
        <f>'Mensual 2026'!G110</f>
        <v>12.907021709721327</v>
      </c>
      <c r="G76" s="8">
        <f>'Mensual 2026'!H110</f>
        <v>21.987620736745928</v>
      </c>
      <c r="H76" s="8">
        <f>SUM(B76:G76)</f>
        <v>92.819865607977249</v>
      </c>
      <c r="I76" s="9">
        <v>796.29</v>
      </c>
    </row>
    <row r="77" spans="1:9">
      <c r="A77" s="2" t="s">
        <v>16</v>
      </c>
      <c r="B77" s="8">
        <f>'Mensual 2026'!C111</f>
        <v>2.0017325040000002E-2</v>
      </c>
      <c r="C77" s="8">
        <f>'Mensual 2026'!D111</f>
        <v>1.6992643110000004E-2</v>
      </c>
      <c r="D77" s="8">
        <f>'Mensual 2026'!E111</f>
        <v>2.4014928360000003E-2</v>
      </c>
      <c r="E77" s="8">
        <f>'Mensual 2026'!F111</f>
        <v>2.1541958010000001E-2</v>
      </c>
      <c r="F77" s="8">
        <f>'Mensual 2026'!G111</f>
        <v>1.8397722540000001E-2</v>
      </c>
      <c r="G77" s="8">
        <f>'Mensual 2026'!H111</f>
        <v>3.1341246239999995E-2</v>
      </c>
      <c r="H77" s="8">
        <f>SUM(B77:G77)</f>
        <v>0.13230582330000001</v>
      </c>
      <c r="I77" s="9">
        <v>25.06</v>
      </c>
    </row>
    <row r="78" spans="1:9">
      <c r="A78" s="2" t="s">
        <v>15</v>
      </c>
      <c r="B78" s="8">
        <f>'Mensual 2026'!C112</f>
        <v>0.16111505520000002</v>
      </c>
      <c r="C78" s="8">
        <f>'Mensual 2026'!D112</f>
        <v>0.1367700543</v>
      </c>
      <c r="D78" s="8">
        <f>'Mensual 2026'!E112</f>
        <v>0.19329088680000001</v>
      </c>
      <c r="E78" s="8">
        <f>'Mensual 2026'!F112</f>
        <v>0.1733864913</v>
      </c>
      <c r="F78" s="8">
        <f>'Mensual 2026'!G112</f>
        <v>0.14807923019999999</v>
      </c>
      <c r="G78" s="8">
        <f>'Mensual 2026'!H112</f>
        <v>0.25225881120000004</v>
      </c>
      <c r="H78" s="8">
        <f>SUM(B78:G78)</f>
        <v>1.064900529</v>
      </c>
      <c r="I78" s="9">
        <v>93.93</v>
      </c>
    </row>
    <row r="79" spans="1:9">
      <c r="A79" s="2" t="s">
        <v>17</v>
      </c>
      <c r="B79" s="8">
        <f>'Mensual 2026'!C113</f>
        <v>6.83518416E-4</v>
      </c>
      <c r="C79" s="8">
        <f>'Mensual 2026'!D113</f>
        <v>5.8023659400000004E-4</v>
      </c>
      <c r="D79" s="8">
        <f>'Mensual 2026'!E113</f>
        <v>8.2002194400000001E-4</v>
      </c>
      <c r="E79" s="8">
        <f>'Mensual 2026'!F113</f>
        <v>7.3557905399999999E-4</v>
      </c>
      <c r="F79" s="8">
        <f>'Mensual 2026'!G113</f>
        <v>6.2821491600000001E-4</v>
      </c>
      <c r="G79" s="8">
        <f>'Mensual 2026'!H113</f>
        <v>1.070188896E-3</v>
      </c>
      <c r="H79" s="8">
        <f>SUM(B79:G79)</f>
        <v>4.5177598199999999E-3</v>
      </c>
      <c r="I79" s="17">
        <v>1.7000000000000001E-2</v>
      </c>
    </row>
    <row r="80" spans="1:9">
      <c r="A80" s="2" t="s">
        <v>18</v>
      </c>
      <c r="B80" s="8">
        <f>'Mensual 2026'!C114</f>
        <v>7987.9742673177088</v>
      </c>
      <c r="C80" s="8">
        <f>'Mensual 2026'!D114</f>
        <v>6780.9657696597787</v>
      </c>
      <c r="D80" s="8">
        <f>'Mensual 2026'!E114</f>
        <v>9583.2299964070662</v>
      </c>
      <c r="E80" s="8">
        <f>'Mensual 2026'!F114</f>
        <v>8596.3836780220772</v>
      </c>
      <c r="F80" s="8">
        <f>'Mensual 2026'!G114</f>
        <v>7341.6669776358394</v>
      </c>
      <c r="G80" s="8">
        <f>'Mensual 2026'!H114</f>
        <v>12506.819366249743</v>
      </c>
      <c r="H80" s="8">
        <f>SUM(B80:G80)</f>
        <v>52797.040055292215</v>
      </c>
      <c r="I80" s="18" t="s">
        <v>19</v>
      </c>
    </row>
    <row r="81" spans="1:9" ht="19.5" customHeight="1">
      <c r="A81" s="11" t="s">
        <v>20</v>
      </c>
      <c r="B81" s="12">
        <f>SUM(B74:B79)</f>
        <v>14.860262397588837</v>
      </c>
      <c r="C81" s="12">
        <f>SUM(C74:C79)</f>
        <v>12.991568482567134</v>
      </c>
      <c r="D81" s="12">
        <f>SUM(D74:D79)</f>
        <v>18.360391869189542</v>
      </c>
      <c r="E81" s="12">
        <f>SUM(E74:E79)</f>
        <v>16.469705208532485</v>
      </c>
      <c r="F81" s="12">
        <f>SUM(F74:F79)</f>
        <v>14.065808994777328</v>
      </c>
      <c r="G81" s="12">
        <f>SUM(G74:G79)</f>
        <v>23.961660597481931</v>
      </c>
      <c r="H81" s="12">
        <f>SUM(H74:H79)</f>
        <v>100.70939755013725</v>
      </c>
      <c r="I81" s="12">
        <f>SUM(I74:I79)</f>
        <v>1303.2170000000001</v>
      </c>
    </row>
    <row r="82" spans="1:9" ht="15.75" customHeight="1">
      <c r="A82" s="2"/>
      <c r="B82" s="2"/>
      <c r="C82" s="2"/>
      <c r="D82" s="2"/>
      <c r="E82" s="2"/>
      <c r="F82" s="2"/>
      <c r="G82" s="2"/>
      <c r="H82" s="2"/>
      <c r="I82" s="2"/>
    </row>
    <row r="83" spans="1:9" ht="18.75" customHeight="1">
      <c r="A83" s="2"/>
      <c r="B83" s="7" t="s">
        <v>40</v>
      </c>
      <c r="C83" s="7" t="s">
        <v>40</v>
      </c>
      <c r="D83" s="7" t="s">
        <v>40</v>
      </c>
      <c r="E83" s="7" t="s">
        <v>40</v>
      </c>
      <c r="F83" s="7" t="s">
        <v>40</v>
      </c>
      <c r="G83" s="7" t="s">
        <v>40</v>
      </c>
      <c r="H83" s="7" t="s">
        <v>40</v>
      </c>
      <c r="I83" s="7" t="s">
        <v>40</v>
      </c>
    </row>
    <row r="84" spans="1:9">
      <c r="A84" s="2" t="s">
        <v>11</v>
      </c>
      <c r="B84" s="8">
        <f>'Mensual 2026'!C72</f>
        <v>0</v>
      </c>
      <c r="C84" s="8">
        <f>'Mensual 2026'!D72</f>
        <v>0</v>
      </c>
      <c r="D84" s="8">
        <f>'Mensual 2026'!E72</f>
        <v>2.6745228000000003E-2</v>
      </c>
      <c r="E84" s="8">
        <f>'Mensual 2026'!F72</f>
        <v>0.13251063600000001</v>
      </c>
      <c r="F84" s="8">
        <f>'Mensual 2026'!G72</f>
        <v>0.31959392400000008</v>
      </c>
      <c r="G84" s="8">
        <f>'Mensual 2026'!H72</f>
        <v>0.40692970800000006</v>
      </c>
      <c r="H84" s="8">
        <f>SUM(B84:G84)</f>
        <v>0.88577949600000017</v>
      </c>
      <c r="I84" s="9">
        <v>9.41</v>
      </c>
    </row>
    <row r="85" spans="1:9">
      <c r="A85" s="2" t="s">
        <v>35</v>
      </c>
      <c r="B85" s="8">
        <f>'Mensual 2026'!C73</f>
        <v>0</v>
      </c>
      <c r="C85" s="8">
        <f>'Mensual 2026'!D73</f>
        <v>0</v>
      </c>
      <c r="D85" s="8">
        <f>'Mensual 2026'!E73</f>
        <v>2.2510566900000001E-2</v>
      </c>
      <c r="E85" s="8">
        <f>'Mensual 2026'!F73</f>
        <v>0.11152978530000002</v>
      </c>
      <c r="F85" s="8">
        <f>'Mensual 2026'!G73</f>
        <v>0.26899155270000003</v>
      </c>
      <c r="G85" s="8">
        <f>'Mensual 2026'!H73</f>
        <v>0.34249917090000004</v>
      </c>
      <c r="H85" s="8">
        <f>SUM(B85:G85)</f>
        <v>0.74553107580000011</v>
      </c>
      <c r="I85" s="9">
        <v>395.87</v>
      </c>
    </row>
    <row r="86" spans="1:9">
      <c r="A86" s="2" t="s">
        <v>14</v>
      </c>
      <c r="B86" s="8">
        <f>'Mensual 2026'!C74</f>
        <v>0</v>
      </c>
      <c r="C86" s="8">
        <f>'Mensual 2026'!D74</f>
        <v>0</v>
      </c>
      <c r="D86" s="8">
        <f>'Mensual 2026'!E74</f>
        <v>1.9613167200000003</v>
      </c>
      <c r="E86" s="8">
        <f>'Mensual 2026'!F74</f>
        <v>9.7174466400000021</v>
      </c>
      <c r="F86" s="8">
        <f>'Mensual 2026'!G74</f>
        <v>23.436887760000005</v>
      </c>
      <c r="G86" s="8">
        <f>'Mensual 2026'!H74</f>
        <v>29.841511920000002</v>
      </c>
      <c r="H86" s="8">
        <f>SUM(B86:G86)</f>
        <v>64.957163040000012</v>
      </c>
      <c r="I86" s="9">
        <v>689.83</v>
      </c>
    </row>
    <row r="87" spans="1:9">
      <c r="A87" s="2" t="s">
        <v>16</v>
      </c>
      <c r="B87" s="8">
        <f>'Mensual 2026'!C75</f>
        <v>0</v>
      </c>
      <c r="C87" s="8">
        <f>'Mensual 2026'!D75</f>
        <v>0</v>
      </c>
      <c r="D87" s="8">
        <f>'Mensual 2026'!E75</f>
        <v>9.1379529000000005E-4</v>
      </c>
      <c r="E87" s="8">
        <f>'Mensual 2026'!F75</f>
        <v>4.5274467300000006E-3</v>
      </c>
      <c r="F87" s="8">
        <f>'Mensual 2026'!G75</f>
        <v>1.091945907E-2</v>
      </c>
      <c r="G87" s="8">
        <f>'Mensual 2026'!H75</f>
        <v>1.3903431689999999E-2</v>
      </c>
      <c r="H87" s="8">
        <f>SUM(B87:G87)</f>
        <v>3.0264132779999998E-2</v>
      </c>
      <c r="I87" s="9">
        <v>0.32</v>
      </c>
    </row>
    <row r="88" spans="1:9">
      <c r="A88" s="2" t="s">
        <v>15</v>
      </c>
      <c r="B88" s="8">
        <f>'Mensual 2026'!C76</f>
        <v>0</v>
      </c>
      <c r="C88" s="8">
        <f>'Mensual 2026'!D76</f>
        <v>0</v>
      </c>
      <c r="D88" s="8">
        <f>'Mensual 2026'!E76</f>
        <v>7.3549377000000004E-3</v>
      </c>
      <c r="E88" s="8">
        <f>'Mensual 2026'!F76</f>
        <v>3.6440424900000004E-2</v>
      </c>
      <c r="F88" s="8">
        <f>'Mensual 2026'!G76</f>
        <v>8.7888329100000009E-2</v>
      </c>
      <c r="G88" s="8">
        <f>'Mensual 2026'!H76</f>
        <v>0.11190566970000002</v>
      </c>
      <c r="H88" s="8">
        <f>SUM(B88:G88)</f>
        <v>0.24358936140000004</v>
      </c>
      <c r="I88" s="9">
        <v>2.59</v>
      </c>
    </row>
    <row r="89" spans="1:9">
      <c r="A89" s="2" t="s">
        <v>17</v>
      </c>
      <c r="B89" s="8">
        <f>'Mensual 2026'!C77</f>
        <v>0</v>
      </c>
      <c r="C89" s="8">
        <f>'Mensual 2026'!D77</f>
        <v>0</v>
      </c>
      <c r="D89" s="8">
        <f>'Mensual 2026'!E77</f>
        <v>3.1202766000000006E-5</v>
      </c>
      <c r="E89" s="8">
        <f>'Mensual 2026'!F77</f>
        <v>1.5459574200000001E-4</v>
      </c>
      <c r="F89" s="8">
        <f>'Mensual 2026'!G77</f>
        <v>3.7285957800000004E-4</v>
      </c>
      <c r="G89" s="8">
        <f>'Mensual 2026'!H77</f>
        <v>4.7475132600000003E-4</v>
      </c>
      <c r="H89" s="8">
        <f>SUM(B89:G89)</f>
        <v>1.033409412E-3</v>
      </c>
      <c r="I89" s="17">
        <v>1.0999999999999999E-2</v>
      </c>
    </row>
    <row r="90" spans="1:9">
      <c r="A90" s="2" t="s">
        <v>18</v>
      </c>
      <c r="B90" s="8">
        <f>'Mensual 2026'!C78</f>
        <v>0</v>
      </c>
      <c r="C90" s="8">
        <f>'Mensual 2026'!D78</f>
        <v>0</v>
      </c>
      <c r="D90" s="8">
        <f>'Mensual 2026'!E78</f>
        <v>364.65278190417609</v>
      </c>
      <c r="E90" s="8">
        <f>'Mensual 2026'!F78</f>
        <v>1806.6913488003047</v>
      </c>
      <c r="F90" s="8">
        <f>'Mensual 2026'!G78</f>
        <v>4357.4432592712183</v>
      </c>
      <c r="G90" s="8">
        <f>'Mensual 2026'!H78</f>
        <v>5548.2065833072757</v>
      </c>
      <c r="H90" s="8">
        <f>SUM(B90:G90)</f>
        <v>12076.993973282975</v>
      </c>
      <c r="I90" s="18" t="s">
        <v>19</v>
      </c>
    </row>
    <row r="91" spans="1:9" ht="19.5" customHeight="1">
      <c r="A91" s="11" t="s">
        <v>20</v>
      </c>
      <c r="B91" s="12">
        <f>SUM(B84:B89)</f>
        <v>0</v>
      </c>
      <c r="C91" s="12">
        <f>SUM(C84:C89)</f>
        <v>0</v>
      </c>
      <c r="D91" s="12">
        <f>SUM(D84:D89)</f>
        <v>2.0188724506560001</v>
      </c>
      <c r="E91" s="12">
        <f>SUM(E84:E89)</f>
        <v>10.002609528672002</v>
      </c>
      <c r="F91" s="12">
        <f>SUM(F84:F89)</f>
        <v>24.124653884448005</v>
      </c>
      <c r="G91" s="12">
        <f>SUM(G84:G89)</f>
        <v>30.717224651616004</v>
      </c>
      <c r="H91" s="12">
        <f>SUM(H84:H89)</f>
        <v>66.863360515392017</v>
      </c>
      <c r="I91" s="12">
        <f>SUM(I84:I89)</f>
        <v>1098.0309999999999</v>
      </c>
    </row>
    <row r="92" spans="1:9" ht="15.75" customHeight="1">
      <c r="A92" s="2"/>
      <c r="B92" s="2"/>
      <c r="C92" s="2"/>
      <c r="D92" s="2"/>
      <c r="E92" s="2"/>
      <c r="F92" s="2"/>
      <c r="G92" s="2"/>
      <c r="H92" s="2"/>
      <c r="I92" s="2"/>
    </row>
    <row r="93" spans="1:9" ht="18.75" customHeight="1">
      <c r="A93" s="2"/>
      <c r="B93" s="7" t="s">
        <v>41</v>
      </c>
      <c r="C93" s="7" t="s">
        <v>41</v>
      </c>
      <c r="D93" s="7" t="s">
        <v>41</v>
      </c>
      <c r="E93" s="7" t="s">
        <v>41</v>
      </c>
      <c r="F93" s="7" t="s">
        <v>41</v>
      </c>
      <c r="G93" s="7" t="s">
        <v>41</v>
      </c>
      <c r="H93" s="7" t="s">
        <v>41</v>
      </c>
      <c r="I93" s="7" t="s">
        <v>41</v>
      </c>
    </row>
    <row r="94" spans="1:9">
      <c r="A94" s="2" t="s">
        <v>11</v>
      </c>
      <c r="B94" s="8">
        <f>'Mensual 2026'!C99</f>
        <v>0</v>
      </c>
      <c r="C94" s="8">
        <f>'Mensual 2026'!D99</f>
        <v>0</v>
      </c>
      <c r="D94" s="8">
        <f>'Mensual 2026'!E99</f>
        <v>5.6356992000000009E-2</v>
      </c>
      <c r="E94" s="8">
        <f>'Mensual 2026'!F99</f>
        <v>0.12315340800000002</v>
      </c>
      <c r="F94" s="8">
        <f>'Mensual 2026'!G99</f>
        <v>0.14343940800000002</v>
      </c>
      <c r="G94" s="8">
        <f>'Mensual 2026'!H99</f>
        <v>0.28514167200000001</v>
      </c>
      <c r="H94" s="8">
        <f>SUM(B94:G94)</f>
        <v>0.60809148000000013</v>
      </c>
      <c r="I94" s="9">
        <v>9.86</v>
      </c>
    </row>
    <row r="95" spans="1:9">
      <c r="A95" s="2" t="s">
        <v>35</v>
      </c>
      <c r="B95" s="8">
        <f>'Mensual 2026'!C100</f>
        <v>0</v>
      </c>
      <c r="C95" s="8">
        <f>'Mensual 2026'!D100</f>
        <v>0</v>
      </c>
      <c r="D95" s="8">
        <f>'Mensual 2026'!E100</f>
        <v>4.7433801599999999E-2</v>
      </c>
      <c r="E95" s="8">
        <f>'Mensual 2026'!F100</f>
        <v>0.10365411840000002</v>
      </c>
      <c r="F95" s="8">
        <f>'Mensual 2026'!G100</f>
        <v>0.1207281684</v>
      </c>
      <c r="G95" s="8">
        <f>'Mensual 2026'!H100</f>
        <v>0.23999424060000002</v>
      </c>
      <c r="H95" s="8">
        <f>SUM(B95:G95)</f>
        <v>0.51181032900000001</v>
      </c>
      <c r="I95" s="9">
        <v>414.78</v>
      </c>
    </row>
    <row r="96" spans="1:9">
      <c r="A96" s="2" t="s">
        <v>14</v>
      </c>
      <c r="B96" s="8">
        <f>'Mensual 2026'!C101</f>
        <v>0</v>
      </c>
      <c r="C96" s="8">
        <f>'Mensual 2026'!D101</f>
        <v>0</v>
      </c>
      <c r="D96" s="8">
        <f>'Mensual 2026'!E101</f>
        <v>4.1328460800000002</v>
      </c>
      <c r="E96" s="8">
        <f>'Mensual 2026'!F101</f>
        <v>9.0312499200000023</v>
      </c>
      <c r="F96" s="8">
        <f>'Mensual 2026'!G101</f>
        <v>10.518889919999999</v>
      </c>
      <c r="G96" s="8">
        <f>'Mensual 2026'!H101</f>
        <v>20.910389280000004</v>
      </c>
      <c r="H96" s="8">
        <f>SUM(B96:G96)</f>
        <v>44.593375200000004</v>
      </c>
      <c r="I96" s="9">
        <v>722.78</v>
      </c>
    </row>
    <row r="97" spans="1:9">
      <c r="A97" s="2" t="s">
        <v>16</v>
      </c>
      <c r="B97" s="8">
        <f>'Mensual 2026'!C102</f>
        <v>0</v>
      </c>
      <c r="C97" s="8">
        <f>'Mensual 2026'!D102</f>
        <v>0</v>
      </c>
      <c r="D97" s="8">
        <f>'Mensual 2026'!E102</f>
        <v>1.9255305600000001E-3</v>
      </c>
      <c r="E97" s="8">
        <f>'Mensual 2026'!F102</f>
        <v>4.2077414400000001E-3</v>
      </c>
      <c r="F97" s="8">
        <f>'Mensual 2026'!G102</f>
        <v>4.9008464400000003E-3</v>
      </c>
      <c r="G97" s="8">
        <f>'Mensual 2026'!H102</f>
        <v>9.742340460000002E-3</v>
      </c>
      <c r="H97" s="8">
        <f>SUM(B97:G97)</f>
        <v>2.0776458900000003E-2</v>
      </c>
      <c r="I97" s="9">
        <v>0.34</v>
      </c>
    </row>
    <row r="98" spans="1:9">
      <c r="A98" s="2" t="s">
        <v>15</v>
      </c>
      <c r="B98" s="8">
        <f>'Mensual 2026'!C103</f>
        <v>0</v>
      </c>
      <c r="C98" s="8">
        <f>'Mensual 2026'!D103</f>
        <v>0</v>
      </c>
      <c r="D98" s="8">
        <f>'Mensual 2026'!E103</f>
        <v>1.5498172800000001E-2</v>
      </c>
      <c r="E98" s="8">
        <f>'Mensual 2026'!F103</f>
        <v>3.3867187200000003E-2</v>
      </c>
      <c r="F98" s="8">
        <f>'Mensual 2026'!G103</f>
        <v>3.9445837200000007E-2</v>
      </c>
      <c r="G98" s="8">
        <f>'Mensual 2026'!H103</f>
        <v>7.8413959800000002E-2</v>
      </c>
      <c r="H98" s="8">
        <f>SUM(B98:G98)</f>
        <v>0.16722515700000001</v>
      </c>
      <c r="I98" s="9">
        <v>2.71</v>
      </c>
    </row>
    <row r="99" spans="1:9">
      <c r="A99" s="2" t="s">
        <v>17</v>
      </c>
      <c r="B99" s="8">
        <f>'Mensual 2026'!C104</f>
        <v>0</v>
      </c>
      <c r="C99" s="8">
        <f>'Mensual 2026'!D104</f>
        <v>0</v>
      </c>
      <c r="D99" s="8">
        <f>'Mensual 2026'!E104</f>
        <v>6.5749823999999998E-5</v>
      </c>
      <c r="E99" s="8">
        <f>'Mensual 2026'!F104</f>
        <v>1.4367897600000001E-4</v>
      </c>
      <c r="F99" s="8">
        <f>'Mensual 2026'!G104</f>
        <v>1.6734597600000003E-4</v>
      </c>
      <c r="G99" s="8">
        <f>'Mensual 2026'!H104</f>
        <v>3.32665284E-4</v>
      </c>
      <c r="H99" s="8">
        <f>SUM(B99:G99)</f>
        <v>7.0944005999999996E-4</v>
      </c>
      <c r="I99" s="17">
        <v>1.0999999999999999E-2</v>
      </c>
    </row>
    <row r="100" spans="1:9">
      <c r="A100" s="2" t="s">
        <v>18</v>
      </c>
      <c r="B100" s="8">
        <f>'Mensual 2026'!C105</f>
        <v>0</v>
      </c>
      <c r="C100" s="8">
        <f>'Mensual 2026'!D105</f>
        <v>0</v>
      </c>
      <c r="D100" s="8">
        <f>'Mensual 2026'!E105</f>
        <v>768.38880986736774</v>
      </c>
      <c r="E100" s="8">
        <f>'Mensual 2026'!F105</f>
        <v>1679.1119831986484</v>
      </c>
      <c r="F100" s="8">
        <f>'Mensual 2026'!G105</f>
        <v>1955.6976355515883</v>
      </c>
      <c r="G100" s="8">
        <f>'Mensual 2026'!H105</f>
        <v>3887.7105078935251</v>
      </c>
      <c r="H100" s="8">
        <f>SUM(B100:G100)</f>
        <v>8290.9089365111304</v>
      </c>
      <c r="I100" s="18" t="s">
        <v>19</v>
      </c>
    </row>
    <row r="101" spans="1:9" ht="19.5" customHeight="1">
      <c r="A101" s="11" t="s">
        <v>20</v>
      </c>
      <c r="B101" s="12">
        <f>SUM(B94:B99)</f>
        <v>0</v>
      </c>
      <c r="C101" s="12">
        <f>SUM(C94:C99)</f>
        <v>0</v>
      </c>
      <c r="D101" s="12">
        <f>SUM(D94:D99)</f>
        <v>4.254126326784001</v>
      </c>
      <c r="E101" s="12">
        <f>SUM(E94:E99)</f>
        <v>9.296276054016003</v>
      </c>
      <c r="F101" s="12">
        <f>SUM(F94:F99)</f>
        <v>10.827571526015999</v>
      </c>
      <c r="G101" s="12">
        <f>SUM(G94:G99)</f>
        <v>21.524014158144002</v>
      </c>
      <c r="H101" s="12">
        <f>SUM(H94:H99)</f>
        <v>45.901988064960001</v>
      </c>
      <c r="I101" s="12">
        <f>SUM(I94:I99)</f>
        <v>1150.481</v>
      </c>
    </row>
    <row r="102" spans="1:9" ht="15.75" customHeight="1">
      <c r="A102" s="2"/>
      <c r="B102" s="2"/>
      <c r="C102" s="2"/>
      <c r="D102" s="2"/>
      <c r="E102" s="2"/>
      <c r="F102" s="2"/>
      <c r="G102" s="2"/>
      <c r="H102" s="2"/>
      <c r="I102" s="2"/>
    </row>
    <row r="103" spans="1:9" ht="18.75" customHeight="1">
      <c r="A103" s="2"/>
      <c r="B103" s="7" t="s">
        <v>42</v>
      </c>
      <c r="C103" s="7" t="s">
        <v>42</v>
      </c>
      <c r="D103" s="7" t="s">
        <v>42</v>
      </c>
      <c r="E103" s="7" t="s">
        <v>42</v>
      </c>
      <c r="F103" s="7" t="s">
        <v>42</v>
      </c>
      <c r="G103" s="7" t="s">
        <v>42</v>
      </c>
      <c r="H103" s="7" t="s">
        <v>42</v>
      </c>
      <c r="I103" s="7" t="s">
        <v>42</v>
      </c>
    </row>
    <row r="104" spans="1:9">
      <c r="A104" s="2" t="s">
        <v>11</v>
      </c>
      <c r="B104" s="8">
        <f>'Mensual 2026'!C90</f>
        <v>0</v>
      </c>
      <c r="C104" s="8">
        <f>'Mensual 2026'!D90</f>
        <v>0</v>
      </c>
      <c r="D104" s="8">
        <f>'Mensual 2026'!E90</f>
        <v>0</v>
      </c>
      <c r="E104" s="8">
        <f>'Mensual 2026'!F90</f>
        <v>0</v>
      </c>
      <c r="F104" s="8">
        <f>'Mensual 2026'!G90</f>
        <v>0</v>
      </c>
      <c r="G104" s="8">
        <f>'Mensual 2026'!H90</f>
        <v>0</v>
      </c>
      <c r="H104" s="8">
        <f>SUM(B104:G104)</f>
        <v>0</v>
      </c>
      <c r="I104" s="9">
        <v>9.41</v>
      </c>
    </row>
    <row r="105" spans="1:9">
      <c r="A105" s="2" t="s">
        <v>35</v>
      </c>
      <c r="B105" s="8">
        <f>'Mensual 2026'!C91</f>
        <v>0</v>
      </c>
      <c r="C105" s="8">
        <f>'Mensual 2026'!D91</f>
        <v>0</v>
      </c>
      <c r="D105" s="8">
        <f>'Mensual 2026'!E91</f>
        <v>0</v>
      </c>
      <c r="E105" s="8">
        <f>'Mensual 2026'!F91</f>
        <v>0</v>
      </c>
      <c r="F105" s="8">
        <f>'Mensual 2026'!G91</f>
        <v>0</v>
      </c>
      <c r="G105" s="8">
        <f>'Mensual 2026'!H91</f>
        <v>0</v>
      </c>
      <c r="H105" s="8">
        <f>SUM(B105:G105)</f>
        <v>0</v>
      </c>
      <c r="I105" s="9">
        <v>395.87</v>
      </c>
    </row>
    <row r="106" spans="1:9">
      <c r="A106" s="2" t="s">
        <v>14</v>
      </c>
      <c r="B106" s="8">
        <f>'Mensual 2026'!C92</f>
        <v>0</v>
      </c>
      <c r="C106" s="8">
        <f>'Mensual 2026'!D92</f>
        <v>0</v>
      </c>
      <c r="D106" s="8">
        <f>'Mensual 2026'!E92</f>
        <v>0</v>
      </c>
      <c r="E106" s="8">
        <f>'Mensual 2026'!F92</f>
        <v>0</v>
      </c>
      <c r="F106" s="8">
        <f>'Mensual 2026'!G92</f>
        <v>0</v>
      </c>
      <c r="G106" s="8">
        <f>'Mensual 2026'!H92</f>
        <v>0</v>
      </c>
      <c r="H106" s="8">
        <f>SUM(B106:G106)</f>
        <v>0</v>
      </c>
      <c r="I106" s="9">
        <v>689.83</v>
      </c>
    </row>
    <row r="107" spans="1:9">
      <c r="A107" s="2" t="s">
        <v>16</v>
      </c>
      <c r="B107" s="8">
        <f>'Mensual 2026'!C93</f>
        <v>0</v>
      </c>
      <c r="C107" s="8">
        <f>'Mensual 2026'!D93</f>
        <v>0</v>
      </c>
      <c r="D107" s="8">
        <f>'Mensual 2026'!E93</f>
        <v>0</v>
      </c>
      <c r="E107" s="8">
        <f>'Mensual 2026'!F93</f>
        <v>0</v>
      </c>
      <c r="F107" s="8">
        <f>'Mensual 2026'!G93</f>
        <v>0</v>
      </c>
      <c r="G107" s="8">
        <f>'Mensual 2026'!H93</f>
        <v>0</v>
      </c>
      <c r="H107" s="8">
        <f>SUM(B107:G107)</f>
        <v>0</v>
      </c>
      <c r="I107" s="9">
        <v>0.32</v>
      </c>
    </row>
    <row r="108" spans="1:9">
      <c r="A108" s="2" t="s">
        <v>15</v>
      </c>
      <c r="B108" s="8">
        <f>'Mensual 2026'!C94</f>
        <v>0</v>
      </c>
      <c r="C108" s="8">
        <f>'Mensual 2026'!D94</f>
        <v>0</v>
      </c>
      <c r="D108" s="8">
        <f>'Mensual 2026'!E94</f>
        <v>0</v>
      </c>
      <c r="E108" s="8">
        <f>'Mensual 2026'!F94</f>
        <v>0</v>
      </c>
      <c r="F108" s="8">
        <f>'Mensual 2026'!G94</f>
        <v>0</v>
      </c>
      <c r="G108" s="8">
        <f>'Mensual 2026'!H94</f>
        <v>0</v>
      </c>
      <c r="H108" s="8">
        <f>SUM(B108:G108)</f>
        <v>0</v>
      </c>
      <c r="I108" s="9">
        <v>2.59</v>
      </c>
    </row>
    <row r="109" spans="1:9">
      <c r="A109" s="2" t="s">
        <v>17</v>
      </c>
      <c r="B109" s="8">
        <f>'Mensual 2026'!C95</f>
        <v>0</v>
      </c>
      <c r="C109" s="8">
        <f>'Mensual 2026'!D95</f>
        <v>0</v>
      </c>
      <c r="D109" s="8">
        <f>'Mensual 2026'!E95</f>
        <v>0</v>
      </c>
      <c r="E109" s="8">
        <f>'Mensual 2026'!F95</f>
        <v>0</v>
      </c>
      <c r="F109" s="8">
        <f>'Mensual 2026'!G95</f>
        <v>0</v>
      </c>
      <c r="G109" s="8">
        <f>'Mensual 2026'!H95</f>
        <v>0</v>
      </c>
      <c r="H109" s="8">
        <f>SUM(B109:G109)</f>
        <v>0</v>
      </c>
      <c r="I109" s="17">
        <v>1.0999999999999999E-2</v>
      </c>
    </row>
    <row r="110" spans="1:9">
      <c r="A110" s="2" t="s">
        <v>18</v>
      </c>
      <c r="B110" s="8">
        <f>'Mensual 2026'!C96</f>
        <v>0</v>
      </c>
      <c r="C110" s="8">
        <f>'Mensual 2026'!D96</f>
        <v>0</v>
      </c>
      <c r="D110" s="8">
        <f>'Mensual 2026'!E96</f>
        <v>0</v>
      </c>
      <c r="E110" s="8">
        <f>'Mensual 2026'!F96</f>
        <v>0</v>
      </c>
      <c r="F110" s="8">
        <f>'Mensual 2026'!G96</f>
        <v>0</v>
      </c>
      <c r="G110" s="8">
        <f>'Mensual 2026'!H96</f>
        <v>0</v>
      </c>
      <c r="H110" s="8">
        <f>SUM(B110:G110)</f>
        <v>0</v>
      </c>
      <c r="I110" s="18" t="s">
        <v>19</v>
      </c>
    </row>
    <row r="111" spans="1:9" ht="19.5" customHeight="1">
      <c r="A111" s="11" t="s">
        <v>20</v>
      </c>
      <c r="B111" s="12">
        <f>SUM(B104:B109)</f>
        <v>0</v>
      </c>
      <c r="C111" s="12">
        <f>SUM(C104:C109)</f>
        <v>0</v>
      </c>
      <c r="D111" s="12">
        <f>SUM(D104:D109)</f>
        <v>0</v>
      </c>
      <c r="E111" s="12">
        <f>SUM(E104:E109)</f>
        <v>0</v>
      </c>
      <c r="F111" s="12">
        <f>SUM(F104:F109)</f>
        <v>0</v>
      </c>
      <c r="G111" s="12">
        <f>SUM(G104:G109)</f>
        <v>0</v>
      </c>
      <c r="H111" s="12">
        <f>SUM(H104:H109)</f>
        <v>0</v>
      </c>
      <c r="I111" s="12">
        <f>SUM(I104:I109)</f>
        <v>1098.0309999999999</v>
      </c>
    </row>
    <row r="112" spans="1:9" ht="15.75" customHeight="1">
      <c r="A112" s="2"/>
      <c r="B112" s="2"/>
      <c r="C112" s="2"/>
      <c r="D112" s="2"/>
      <c r="E112" s="2"/>
      <c r="F112" s="2"/>
      <c r="G112" s="2"/>
      <c r="H112" s="2"/>
      <c r="I112" s="2"/>
    </row>
    <row r="113" spans="1:9" ht="18.75" customHeight="1">
      <c r="A113" s="2"/>
      <c r="B113" s="7" t="s">
        <v>43</v>
      </c>
      <c r="C113" s="7" t="s">
        <v>43</v>
      </c>
      <c r="D113" s="7" t="s">
        <v>43</v>
      </c>
      <c r="E113" s="7" t="s">
        <v>43</v>
      </c>
      <c r="F113" s="7" t="s">
        <v>43</v>
      </c>
      <c r="G113" s="7" t="s">
        <v>43</v>
      </c>
      <c r="H113" s="7" t="s">
        <v>43</v>
      </c>
      <c r="I113" s="7" t="s">
        <v>43</v>
      </c>
    </row>
    <row r="114" spans="1:9">
      <c r="A114" s="2" t="s">
        <v>11</v>
      </c>
      <c r="B114" s="8">
        <f>'Mensual 2026'!C81</f>
        <v>9.9003132000000008E-2</v>
      </c>
      <c r="C114" s="8">
        <f>'Mensual 2026'!D81</f>
        <v>0</v>
      </c>
      <c r="D114" s="8">
        <f>'Mensual 2026'!E81</f>
        <v>0</v>
      </c>
      <c r="E114" s="8">
        <f>'Mensual 2026'!F81</f>
        <v>0</v>
      </c>
      <c r="F114" s="8">
        <f>'Mensual 2026'!G81</f>
        <v>0</v>
      </c>
      <c r="G114" s="8">
        <f>'Mensual 2026'!H81</f>
        <v>0</v>
      </c>
      <c r="H114" s="8">
        <f>SUM(B114:G114)</f>
        <v>9.9003132000000008E-2</v>
      </c>
      <c r="I114" s="9">
        <v>9.41</v>
      </c>
    </row>
    <row r="115" spans="1:9">
      <c r="A115" s="2" t="s">
        <v>35</v>
      </c>
      <c r="B115" s="8">
        <f>'Mensual 2026'!C82</f>
        <v>8.3327636100000019E-3</v>
      </c>
      <c r="C115" s="8">
        <f>'Mensual 2026'!D82</f>
        <v>0</v>
      </c>
      <c r="D115" s="8">
        <f>'Mensual 2026'!E82</f>
        <v>0</v>
      </c>
      <c r="E115" s="8">
        <f>'Mensual 2026'!F82</f>
        <v>0</v>
      </c>
      <c r="F115" s="8">
        <f>'Mensual 2026'!G82</f>
        <v>0</v>
      </c>
      <c r="G115" s="8">
        <f>'Mensual 2026'!H82</f>
        <v>0</v>
      </c>
      <c r="H115" s="8">
        <f>SUM(B115:G115)</f>
        <v>8.3327636100000019E-3</v>
      </c>
      <c r="I115" s="9">
        <v>395.87</v>
      </c>
    </row>
    <row r="116" spans="1:9">
      <c r="A116" s="2" t="s">
        <v>14</v>
      </c>
      <c r="B116" s="8">
        <f>'Mensual 2026'!C83</f>
        <v>7.2602296800000001</v>
      </c>
      <c r="C116" s="8">
        <f>'Mensual 2026'!D83</f>
        <v>0</v>
      </c>
      <c r="D116" s="8">
        <f>'Mensual 2026'!E83</f>
        <v>0</v>
      </c>
      <c r="E116" s="8">
        <f>'Mensual 2026'!F83</f>
        <v>0</v>
      </c>
      <c r="F116" s="8">
        <f>'Mensual 2026'!G83</f>
        <v>0</v>
      </c>
      <c r="G116" s="8">
        <f>'Mensual 2026'!H83</f>
        <v>0</v>
      </c>
      <c r="H116" s="8">
        <f>SUM(B116:G116)</f>
        <v>7.2602296800000001</v>
      </c>
      <c r="I116" s="9">
        <v>689.83</v>
      </c>
    </row>
    <row r="117" spans="1:9">
      <c r="A117" s="2" t="s">
        <v>16</v>
      </c>
      <c r="B117" s="8">
        <f>'Mensual 2026'!C84</f>
        <v>3.3826070100000001E-3</v>
      </c>
      <c r="C117" s="8">
        <f>'Mensual 2026'!D84</f>
        <v>0</v>
      </c>
      <c r="D117" s="8">
        <f>'Mensual 2026'!E84</f>
        <v>0</v>
      </c>
      <c r="E117" s="8">
        <f>'Mensual 2026'!F84</f>
        <v>0</v>
      </c>
      <c r="F117" s="8">
        <f>'Mensual 2026'!G84</f>
        <v>0</v>
      </c>
      <c r="G117" s="8">
        <f>'Mensual 2026'!H84</f>
        <v>0</v>
      </c>
      <c r="H117" s="8">
        <f>SUM(B117:G117)</f>
        <v>3.3826070100000001E-3</v>
      </c>
      <c r="I117" s="17">
        <v>0.32</v>
      </c>
    </row>
    <row r="118" spans="1:9">
      <c r="A118" s="2" t="s">
        <v>15</v>
      </c>
      <c r="B118" s="8">
        <f>'Mensual 2026'!C85</f>
        <v>2.7225861300000001E-2</v>
      </c>
      <c r="C118" s="8">
        <f>'Mensual 2026'!D85</f>
        <v>0</v>
      </c>
      <c r="D118" s="8">
        <f>'Mensual 2026'!E85</f>
        <v>0</v>
      </c>
      <c r="E118" s="8">
        <f>'Mensual 2026'!F85</f>
        <v>0</v>
      </c>
      <c r="F118" s="8">
        <f>'Mensual 2026'!G85</f>
        <v>0</v>
      </c>
      <c r="G118" s="8">
        <f>'Mensual 2026'!H85</f>
        <v>0</v>
      </c>
      <c r="H118" s="8">
        <f>SUM(B118:G118)</f>
        <v>2.7225861300000001E-2</v>
      </c>
      <c r="I118" s="17">
        <v>2.59</v>
      </c>
    </row>
    <row r="119" spans="1:9">
      <c r="A119" s="2" t="s">
        <v>17</v>
      </c>
      <c r="B119" s="8">
        <f>'Mensual 2026'!C86</f>
        <v>1.1550365400000001E-4</v>
      </c>
      <c r="C119" s="8">
        <f>'Mensual 2026'!D86</f>
        <v>0</v>
      </c>
      <c r="D119" s="8">
        <f>'Mensual 2026'!E86</f>
        <v>0</v>
      </c>
      <c r="E119" s="8">
        <f>'Mensual 2026'!F86</f>
        <v>0</v>
      </c>
      <c r="F119" s="8">
        <f>'Mensual 2026'!G86</f>
        <v>0</v>
      </c>
      <c r="G119" s="8">
        <f>'Mensual 2026'!H86</f>
        <v>0</v>
      </c>
      <c r="H119" s="8">
        <f>SUM(B119:G119)</f>
        <v>1.1550365400000001E-4</v>
      </c>
      <c r="I119" s="19">
        <v>1.0999999999999999E-2</v>
      </c>
    </row>
    <row r="120" spans="1:9">
      <c r="A120" s="2" t="s">
        <v>18</v>
      </c>
      <c r="B120" s="8">
        <f>'Mensual 2026'!C87</f>
        <v>1349.8395863750484</v>
      </c>
      <c r="C120" s="8">
        <f>'Mensual 2026'!D87</f>
        <v>0</v>
      </c>
      <c r="D120" s="8">
        <f>'Mensual 2026'!E87</f>
        <v>0</v>
      </c>
      <c r="E120" s="8">
        <f>'Mensual 2026'!F87</f>
        <v>0</v>
      </c>
      <c r="F120" s="8">
        <f>'Mensual 2026'!G87</f>
        <v>0</v>
      </c>
      <c r="G120" s="8">
        <f>'Mensual 2026'!H87</f>
        <v>0</v>
      </c>
      <c r="H120" s="8">
        <f>SUM(B120:G120)</f>
        <v>1349.8395863750484</v>
      </c>
      <c r="I120" s="14" t="s">
        <v>19</v>
      </c>
    </row>
    <row r="121" spans="1:9" ht="19.5" customHeight="1">
      <c r="A121" s="11" t="s">
        <v>20</v>
      </c>
      <c r="B121" s="12">
        <f>SUM(B114:B119)</f>
        <v>7.3982895475740005</v>
      </c>
      <c r="C121" s="12">
        <f>SUM(C114:C119)</f>
        <v>0</v>
      </c>
      <c r="D121" s="12">
        <f>SUM(D114:D119)</f>
        <v>0</v>
      </c>
      <c r="E121" s="12">
        <f>SUM(E114:E119)</f>
        <v>0</v>
      </c>
      <c r="F121" s="12">
        <f>SUM(F114:F119)</f>
        <v>0</v>
      </c>
      <c r="G121" s="12">
        <f>SUM(G114:G119)</f>
        <v>0</v>
      </c>
      <c r="H121" s="12">
        <f>SUM(H114:H119)</f>
        <v>7.3982895475740005</v>
      </c>
      <c r="I121" s="12">
        <f>SUM(I114:I119)</f>
        <v>1098.0309999999999</v>
      </c>
    </row>
    <row r="122" spans="1:9" ht="68.25" customHeight="1">
      <c r="A122" s="2"/>
      <c r="B122" s="2"/>
      <c r="C122" s="2"/>
      <c r="D122" s="2"/>
      <c r="E122" s="2"/>
      <c r="F122" s="2"/>
      <c r="G122" s="2"/>
      <c r="H122" s="2"/>
      <c r="I122" s="2"/>
    </row>
    <row r="123" spans="1:9" ht="18.75" customHeight="1">
      <c r="A123" s="2"/>
      <c r="B123" s="20" t="s">
        <v>44</v>
      </c>
      <c r="C123" s="20" t="s">
        <v>44</v>
      </c>
      <c r="D123" s="20" t="s">
        <v>44</v>
      </c>
      <c r="E123" s="20" t="s">
        <v>44</v>
      </c>
      <c r="F123" s="20" t="s">
        <v>44</v>
      </c>
      <c r="G123" s="20" t="s">
        <v>44</v>
      </c>
      <c r="H123" s="20" t="s">
        <v>45</v>
      </c>
      <c r="I123" s="20" t="s">
        <v>46</v>
      </c>
    </row>
    <row r="124" spans="1:9" ht="19.5" customHeight="1">
      <c r="A124" s="2" t="s">
        <v>47</v>
      </c>
      <c r="B124" s="12">
        <f>SUM(B12,B30,B47,B61,B71,B81,B91,B101,B111,B121)</f>
        <v>2315.0829310492159</v>
      </c>
      <c r="C124" s="12">
        <f>SUM(C12,C30,C47,C61,C71,C81,C91,C101,C111,C121)</f>
        <v>2186.9040824525887</v>
      </c>
      <c r="D124" s="12">
        <f>SUM(D12,D30,D47,D61,D71,D81,D91,D101,D111,D121)</f>
        <v>2168.3780508238829</v>
      </c>
      <c r="E124" s="12">
        <f>SUM(E12,E30,E47,E61,E71,E81,E91,E101,E111,E121)</f>
        <v>2352.3160297035083</v>
      </c>
      <c r="F124" s="12">
        <f>SUM(F12,F30,F47,F61,F71,F81,F91,F101,F111,F121)</f>
        <v>2848.4239677789606</v>
      </c>
      <c r="G124" s="12">
        <f>SUM(G12,G30,G47,G61,G71,G81,G91,G101,G111,G121)</f>
        <v>3228.9153135847941</v>
      </c>
      <c r="H124" s="12">
        <f>SUM(H12,H30,H47,H61,H71,H81,H91,H101,H111,H121)</f>
        <v>15100.020375392951</v>
      </c>
      <c r="I124" s="12">
        <f>SUM(I12,I30,I47,I61,I71,I81,I91,I101,I111,I121)</f>
        <v>150508.57099999994</v>
      </c>
    </row>
    <row r="125" spans="1:9" ht="15.75" customHeight="1">
      <c r="A125" s="2" t="s">
        <v>48</v>
      </c>
      <c r="B125" s="9">
        <v>7.27</v>
      </c>
      <c r="C125" s="9">
        <v>7.68</v>
      </c>
      <c r="D125" s="9">
        <v>7.91</v>
      </c>
      <c r="E125" s="9">
        <v>7.66</v>
      </c>
      <c r="F125" s="9">
        <v>9.2100000000000009</v>
      </c>
      <c r="G125" s="9">
        <v>10.45</v>
      </c>
      <c r="H125" s="9">
        <f>SUM(B125:G125)</f>
        <v>50.180000000000007</v>
      </c>
      <c r="I125" s="10" t="s">
        <v>19</v>
      </c>
    </row>
    <row r="126" spans="1:9">
      <c r="A126" s="2" t="s">
        <v>49</v>
      </c>
      <c r="B126" s="9">
        <f>B124*2000/B125/1000000</f>
        <v>0.63688663852798244</v>
      </c>
      <c r="C126" s="9">
        <f>C124*2000/C125/1000000</f>
        <v>0.56950627147202837</v>
      </c>
      <c r="D126" s="9">
        <f>D124*2000/D125/1000000</f>
        <v>0.54826246544219526</v>
      </c>
      <c r="E126" s="9">
        <f>E124*2000/E125/1000000</f>
        <v>0.61418173099308304</v>
      </c>
      <c r="F126" s="9">
        <f>F124*2000/F125/1000000</f>
        <v>0.61855026444711403</v>
      </c>
      <c r="G126" s="9">
        <f>G124*2000/G125/1000000</f>
        <v>0.6179742226956545</v>
      </c>
      <c r="H126" s="9">
        <f>H124*2000/H125/1000000</f>
        <v>0.60183421185304697</v>
      </c>
      <c r="I126" s="10" t="s">
        <v>19</v>
      </c>
    </row>
    <row r="127" spans="1:9">
      <c r="A127" s="2" t="s">
        <v>18</v>
      </c>
      <c r="B127" s="9">
        <f>SUM(B11,B21,B39,B60,B70,B80,B90,B100,B110,B120)</f>
        <v>538679.35632801859</v>
      </c>
      <c r="C127" s="9">
        <f>SUM(C11,C21,C39,C60,C70,C80,C90,C100,C110,C120)</f>
        <v>465431.56918365828</v>
      </c>
      <c r="D127" s="9">
        <f>SUM(D11,D21,D39,D60,D70,D80,D90,D100,D110,D120)</f>
        <v>543547.57372634357</v>
      </c>
      <c r="E127" s="9">
        <f>SUM(E11,E21,E39,E60,E70,E80,E90,E100,E110,E120)</f>
        <v>594795.02116922324</v>
      </c>
      <c r="F127" s="9">
        <f>SUM(F11,F21,F39,F60,F70,F80,F90,F100,F110,F120)</f>
        <v>661029.59860397479</v>
      </c>
      <c r="G127" s="9">
        <f>SUM(G11,G21,G39,G60,G70,G80,G90,G100,G110,G120)</f>
        <v>800501.53274916823</v>
      </c>
      <c r="H127" s="9">
        <f>SUM(H11,H21,H39,H60,H70,H80,H90,H100,H110,H120)</f>
        <v>3603984.6517603872</v>
      </c>
      <c r="I127" s="21" t="s">
        <v>19</v>
      </c>
    </row>
    <row r="128" spans="1:9">
      <c r="A128" s="2" t="s">
        <v>50</v>
      </c>
      <c r="B128" s="9">
        <v>672.04</v>
      </c>
      <c r="C128" s="9">
        <v>709.49</v>
      </c>
      <c r="D128" s="9">
        <v>721.11</v>
      </c>
      <c r="E128" s="9">
        <v>699.3</v>
      </c>
      <c r="F128" s="9">
        <v>848.81</v>
      </c>
      <c r="G128" s="9">
        <v>965.12</v>
      </c>
      <c r="H128" s="9">
        <f>SUM(B128:G128)</f>
        <v>4615.87</v>
      </c>
      <c r="I128" s="21" t="s">
        <v>19</v>
      </c>
    </row>
    <row r="129" spans="1:9">
      <c r="A129" s="2" t="s">
        <v>51</v>
      </c>
      <c r="B129" s="9">
        <f>B127/B128/1000</f>
        <v>0.80155847319805162</v>
      </c>
      <c r="C129" s="9">
        <f>C127/C128/1000</f>
        <v>0.65600863885841709</v>
      </c>
      <c r="D129" s="9">
        <f>D127/D128/1000</f>
        <v>0.75376513115383725</v>
      </c>
      <c r="E129" s="9">
        <f>E127/E128/1000</f>
        <v>0.85055773082972008</v>
      </c>
      <c r="F129" s="9">
        <f>F127/F128/1000</f>
        <v>0.77877216173699038</v>
      </c>
      <c r="G129" s="9">
        <f>G127/G128/1000</f>
        <v>0.82943212527889609</v>
      </c>
      <c r="H129" s="9">
        <f>H127/H128/1000</f>
        <v>0.78078122905549496</v>
      </c>
      <c r="I129" s="10" t="s">
        <v>19</v>
      </c>
    </row>
    <row r="130" spans="1:9">
      <c r="A130" s="2"/>
      <c r="B130" s="2"/>
      <c r="C130" s="2"/>
      <c r="D130" s="2"/>
      <c r="E130" s="2"/>
      <c r="F130" s="2"/>
      <c r="G130" s="2"/>
      <c r="H130" s="2"/>
      <c r="I130" s="2"/>
    </row>
    <row r="131" spans="1:9">
      <c r="A131" s="2"/>
      <c r="B131" s="2"/>
      <c r="C131" s="2"/>
      <c r="D131" s="2"/>
      <c r="E131" s="2"/>
      <c r="F131" s="2"/>
      <c r="G131" s="2"/>
      <c r="H131" s="2"/>
      <c r="I131" s="2"/>
    </row>
    <row r="132" spans="1:9">
      <c r="A132" s="2"/>
      <c r="B132" s="2"/>
      <c r="C132" s="2"/>
      <c r="D132" s="2"/>
      <c r="E132" s="2"/>
      <c r="F132" s="2"/>
      <c r="G132" s="2"/>
      <c r="H132" s="2"/>
      <c r="I132" s="2"/>
    </row>
    <row r="133" spans="1:9">
      <c r="A133" s="2"/>
      <c r="B133" s="2"/>
      <c r="C133" s="2"/>
      <c r="D133" s="2"/>
      <c r="E133" s="2"/>
      <c r="F133" s="2"/>
      <c r="G133" s="2"/>
      <c r="H133" s="2"/>
      <c r="I133" s="2"/>
    </row>
    <row r="134" spans="1:9" ht="18.75" customHeight="1">
      <c r="A134" s="2" t="s">
        <v>52</v>
      </c>
      <c r="B134" s="20" t="s">
        <v>53</v>
      </c>
      <c r="C134" s="20" t="s">
        <v>53</v>
      </c>
      <c r="D134" s="20" t="s">
        <v>53</v>
      </c>
      <c r="E134" s="20" t="s">
        <v>53</v>
      </c>
      <c r="F134" s="20" t="s">
        <v>53</v>
      </c>
      <c r="G134" s="20" t="s">
        <v>53</v>
      </c>
      <c r="H134" s="20" t="s">
        <v>53</v>
      </c>
      <c r="I134" s="20" t="s">
        <v>53</v>
      </c>
    </row>
    <row r="135" spans="1:9">
      <c r="A135" s="2" t="s">
        <v>11</v>
      </c>
      <c r="B135" s="9">
        <f>SUM(B4,B5,B15,B33,B50,B51,B52,B64,B74,B84,B94,B104,B114)</f>
        <v>123.76792922138551</v>
      </c>
      <c r="C135" s="9">
        <f>SUM(C4,C5,C15,C33,C50,C51,C52,C64,C74,C84,C94,C104,C114)</f>
        <v>154.06227271878305</v>
      </c>
      <c r="D135" s="9">
        <f>SUM(D4,D5,D15,D33,D50,D51,D52,D64,D74,D84,D94,D104,D114)</f>
        <v>140.83670739004236</v>
      </c>
      <c r="E135" s="9">
        <f>SUM(E4,E5,E15,E33,E50,E51,E52,E64,E74,E84,E94,E104,E114)</f>
        <v>133.45121553036401</v>
      </c>
      <c r="F135" s="9">
        <f>SUM(F4,F5,F15,F33,F50,F51,F52,F64,F74,F84,F94,F104,F114)</f>
        <v>178.42960389740441</v>
      </c>
      <c r="G135" s="9">
        <f>SUM(G4,G5,G15,G33,G50,G51,G52,G64,G74,G84,G94,G104,G114)</f>
        <v>181.23661701810357</v>
      </c>
      <c r="H135" s="9">
        <f>SUM(H4,H5,H15,H33,H50,H51,H52,H64,H74,H84,H94,H104,H114)</f>
        <v>911.78434577608289</v>
      </c>
      <c r="I135" s="9">
        <f>SUM(I4,I5,I15,I33,I50,I51,I52,I64,I74,I84,I94,I104,I114)</f>
        <v>11181.18</v>
      </c>
    </row>
    <row r="136" spans="1:9">
      <c r="A136" s="2" t="s">
        <v>35</v>
      </c>
      <c r="B136" s="9">
        <f>SUM(B6,B16,B34,B53,B65,B75,B85,B95,B105,B115)</f>
        <v>791.26773848965217</v>
      </c>
      <c r="C136" s="9">
        <f>SUM(C6,C16,C34,C53,C65,C75,C85,C95,C105,C115)</f>
        <v>917.20946538941314</v>
      </c>
      <c r="D136" s="9">
        <f>SUM(D6,D16,D34,D53,D65,D75,D85,D95,D105,D115)</f>
        <v>620.16439974955836</v>
      </c>
      <c r="E136" s="9">
        <f>SUM(E6,E16,E34,E53,E65,E75,E85,E95,E105,E115)</f>
        <v>696.07746657397115</v>
      </c>
      <c r="F136" s="9">
        <f>SUM(F6,F16,F34,F53,F65,F75,F85,F95,F105,F115)</f>
        <v>987.31129624395021</v>
      </c>
      <c r="G136" s="9">
        <f>SUM(G6,G16,G34,G53,G65,G75,G85,G95,G105,G115)</f>
        <v>1004.2533462578358</v>
      </c>
      <c r="H136" s="9">
        <f>SUM(H6,H16,H34,H53,H65,H75,H85,H95,H105,H115)</f>
        <v>5016.2837127043804</v>
      </c>
      <c r="I136" s="9">
        <f>SUM(I6,I16,I34,I53,I65,I75,I85,I95,I105,I115)</f>
        <v>69283.94</v>
      </c>
    </row>
    <row r="137" spans="1:9">
      <c r="A137" s="2" t="s">
        <v>14</v>
      </c>
      <c r="B137" s="9">
        <f>SUM(B7,B17,B35,B54,B66,B76,B86,B96,B106,B116)</f>
        <v>1309.3355102693995</v>
      </c>
      <c r="C137" s="9">
        <f>SUM(C7,C17,C35,C54,C66,C76,C86,C96,C106,C116)</f>
        <v>1033.4020078736787</v>
      </c>
      <c r="D137" s="9">
        <f>SUM(D7,D17,D35,D54,D66,D76,D86,D96,D106,D116)</f>
        <v>1329.3051227745725</v>
      </c>
      <c r="E137" s="9">
        <f>SUM(E7,E17,E35,E54,E66,E76,E86,E96,E106,E116)</f>
        <v>1428.4906779173734</v>
      </c>
      <c r="F137" s="9">
        <f>SUM(F7,F17,F35,F54,F66,F76,F86,F96,F106,F116)</f>
        <v>1576.748303107262</v>
      </c>
      <c r="G137" s="9">
        <f>SUM(G7,G17,G35,G54,G66,G76,G86,G96,G106,G116)</f>
        <v>1916.018966108682</v>
      </c>
      <c r="H137" s="9">
        <f>SUM(H7,H17,H35,H54,H66,H76,H86,H96,H106,H116)</f>
        <v>8593.3005880509663</v>
      </c>
      <c r="I137" s="9">
        <f>SUM(I7,I17,I35,I54,I66,I76,I86,I96,I106,I116)</f>
        <v>63794.43</v>
      </c>
    </row>
    <row r="138" spans="1:9">
      <c r="A138" s="2" t="s">
        <v>16</v>
      </c>
      <c r="B138" s="9">
        <f>SUM(B9,B18,B36,B55,B67,B77,B87,B97,B107,B117)</f>
        <v>10.706793270404061</v>
      </c>
      <c r="C138" s="9">
        <f>SUM(C9,C18,C36,C55,C67,C77,C87,C97,C107,C117)</f>
        <v>8.5989563021491193</v>
      </c>
      <c r="D138" s="9">
        <f>SUM(D9,D18,D36,D55,D67,D77,D87,D97,D107,D117)</f>
        <v>8.8560972064525778</v>
      </c>
      <c r="E138" s="9">
        <f>SUM(E9,E18,E36,E55,E67,E77,E87,E97,E107,E117)</f>
        <v>12.735834414154947</v>
      </c>
      <c r="F138" s="9">
        <f>SUM(F9,F18,F36,F55,F67,F77,F87,F97,F107,F117)</f>
        <v>12.759607739906698</v>
      </c>
      <c r="G138" s="9">
        <f>SUM(G9,G18,G36,G55,G67,G77,G87,G97,G107,G117)</f>
        <v>15.025062972983042</v>
      </c>
      <c r="H138" s="9">
        <f>SUM(H9,H18,H36,H55,H67,H77,H87,H97,H107,H117)</f>
        <v>68.682351906050457</v>
      </c>
      <c r="I138" s="9">
        <f>SUM(I9,I18,I36,I55,I67,I77,I87,I97,I107,I117)</f>
        <v>758.42000000000007</v>
      </c>
    </row>
    <row r="139" spans="1:9">
      <c r="A139" s="2" t="s">
        <v>15</v>
      </c>
      <c r="B139" s="9">
        <f>SUM(B8,B19,B37,B56,B68,B78,B88,B98,B108,B118)</f>
        <v>77.949660829916738</v>
      </c>
      <c r="C139" s="9">
        <f>SUM(C8,C19,C37,C56,C68,C78,C88,C98,C108,C118)</f>
        <v>56.757547359742645</v>
      </c>
      <c r="D139" s="9">
        <f>SUM(D8,D19,D37,D56,D68,D78,D88,D98,D108,D118)</f>
        <v>59.507355345000519</v>
      </c>
      <c r="E139" s="9">
        <f>SUM(E8,E19,E37,E56,E68,E78,E88,E98,E108,E118)</f>
        <v>80.409855127333529</v>
      </c>
      <c r="F139" s="9">
        <f>SUM(F8,F19,F37,F56,F68,F78,F88,F98,F108,F118)</f>
        <v>82.882666602796419</v>
      </c>
      <c r="G139" s="9">
        <f>SUM(G8,G19,G37,G56,G68,G78,G88,G98,G108,G118)</f>
        <v>107.53592419219767</v>
      </c>
      <c r="H139" s="9">
        <f>SUM(H8,H19,H37,H56,H68,H78,H88,H98,H108,H118)</f>
        <v>465.04300945698748</v>
      </c>
      <c r="I139" s="9">
        <f>SUM(I8,I19,I37,I56,I68,I78,I88,I98,I108,I118)</f>
        <v>5016.6200000000008</v>
      </c>
    </row>
    <row r="140" spans="1:9">
      <c r="A140" s="2" t="s">
        <v>17</v>
      </c>
      <c r="B140" s="9">
        <f>SUM(B10,B20,B38,B58,B69,B79,B89,B99,B109,B119)</f>
        <v>2.1927393807054996E-2</v>
      </c>
      <c r="C140" s="9">
        <f>SUM(C10,C20,C38,C58,C69,C79,C89,C99,C109,C119)</f>
        <v>1.9528200781840001E-2</v>
      </c>
      <c r="D140" s="9">
        <f>SUM(D10,D20,D38,D58,D69,D79,D89,D99,D109,D119)</f>
        <v>1.6831572524180001E-2</v>
      </c>
      <c r="E140" s="9">
        <f>SUM(E10,E20,E38,E58,E69,E79,E89,E99,E109,E119)</f>
        <v>2.5690042036920005E-2</v>
      </c>
      <c r="F140" s="9">
        <f>SUM(F10,F20,F38,F58,F69,F79,F89,F99,F109,F119)</f>
        <v>2.5944977832125002E-2</v>
      </c>
      <c r="G140" s="9">
        <f>SUM(G10,G20,G38,G58,G69,G79,G89,G99,G109,G119)</f>
        <v>2.8672189678130001E-2</v>
      </c>
      <c r="H140" s="9">
        <f>SUM(H10,H20,H38,H58,H69,H79,H89,H99,H109,H119)</f>
        <v>0.13859437666025004</v>
      </c>
      <c r="I140" s="9">
        <f>SUM(I10,I20,I38,I58,I69,I79,I89,I99,I109,I119)</f>
        <v>4.9810000000000008</v>
      </c>
    </row>
    <row r="141" spans="1:9" ht="18" customHeight="1">
      <c r="A141" s="2" t="s">
        <v>36</v>
      </c>
      <c r="B141" s="9">
        <f>SUM(B57)</f>
        <v>2.0333715746509995</v>
      </c>
      <c r="C141" s="9">
        <f>SUM(C57)</f>
        <v>16.854304608039996</v>
      </c>
      <c r="D141" s="9">
        <f>SUM(D57)</f>
        <v>9.6915367857324597</v>
      </c>
      <c r="E141" s="9">
        <f>SUM(E57)</f>
        <v>1.1252900982743999</v>
      </c>
      <c r="F141" s="9">
        <f>SUM(F57)</f>
        <v>10.266545209808999</v>
      </c>
      <c r="G141" s="9">
        <f>SUM(G57)</f>
        <v>4.8167248453140594</v>
      </c>
      <c r="H141" s="9">
        <f>SUM(H57)</f>
        <v>44.787773121820905</v>
      </c>
      <c r="I141" s="9">
        <f>SUM(I57)</f>
        <v>469</v>
      </c>
    </row>
    <row r="142" spans="1:9">
      <c r="A142" s="2" t="s">
        <v>18</v>
      </c>
      <c r="B142" s="9">
        <f>SUM(B11,B21,B39,B60,B70,B80,B90,B100,B110,B120)</f>
        <v>538679.35632801859</v>
      </c>
      <c r="C142" s="9">
        <f>SUM(C11,C21,C39,C60,C70,C80,C90,C100,C110,C120)</f>
        <v>465431.56918365828</v>
      </c>
      <c r="D142" s="9">
        <f>SUM(D11,D21,D39,D60,D70,D80,D90,D100,D110,D120)</f>
        <v>543547.57372634357</v>
      </c>
      <c r="E142" s="9">
        <f>SUM(E11,E21,E39,E60,E70,E80,E90,E100,E110,E120)</f>
        <v>594795.02116922324</v>
      </c>
      <c r="F142" s="9">
        <f>SUM(F11,F21,F39,F60,F70,F80,F90,F100,F110,F120)</f>
        <v>661029.59860397479</v>
      </c>
      <c r="G142" s="9">
        <f>SUM(G11,G21,G39,G60,G70,G80,G90,G100,G110,G120)</f>
        <v>800501.53274916823</v>
      </c>
      <c r="H142" s="9">
        <f>SUM(H11,H21,H39,H60,H70,H80,H90,H100,H110,H120)</f>
        <v>3603984.6517603872</v>
      </c>
      <c r="I142" s="21" t="s">
        <v>19</v>
      </c>
    </row>
    <row r="143" spans="1:9" ht="19.5" customHeight="1">
      <c r="A143" s="11" t="s">
        <v>20</v>
      </c>
      <c r="B143" s="12">
        <f>SUM(B135,B136,B137,B138,B139,B140,B141)</f>
        <v>2315.0829310492159</v>
      </c>
      <c r="C143" s="12">
        <f>SUM(C135,C136,C137,C138,C139,C140,C141)</f>
        <v>2186.9040824525882</v>
      </c>
      <c r="D143" s="12">
        <f>SUM(D135,D136,D137,D138,D139,D140,D141)</f>
        <v>2168.3780508238824</v>
      </c>
      <c r="E143" s="12">
        <f>SUM(E135,E136,E137,E138,E139,E140,E141)</f>
        <v>2352.3160297035083</v>
      </c>
      <c r="F143" s="12">
        <f>SUM(F135,F136,F137,F138,F139,F140,F141)</f>
        <v>2848.423967778961</v>
      </c>
      <c r="G143" s="12">
        <f>SUM(G135,G136,G137,G138,G139,G140,G141)</f>
        <v>3228.9153135847946</v>
      </c>
      <c r="H143" s="12">
        <f>SUM(H135,H136,H137,H138,H139,H140,H141)</f>
        <v>15100.020375392949</v>
      </c>
      <c r="I143" s="12">
        <f>SUM(I135,I136,I137,I138,I139,I140,I141)</f>
        <v>150508.571</v>
      </c>
    </row>
    <row r="144" spans="1:9" ht="15.75" customHeight="1">
      <c r="A144" s="2"/>
      <c r="B144" s="2"/>
      <c r="C144" s="2"/>
      <c r="D144" s="2"/>
      <c r="E144" s="2"/>
      <c r="F144" s="2"/>
      <c r="G144" s="2"/>
      <c r="H144" s="2"/>
      <c r="I144" s="2"/>
    </row>
    <row r="145" spans="1:9">
      <c r="A145" s="2"/>
      <c r="B145" s="2"/>
      <c r="C145" s="2"/>
      <c r="D145" s="2"/>
      <c r="E145" s="2"/>
      <c r="F145" s="2"/>
      <c r="G145" s="2"/>
      <c r="H145" s="2"/>
      <c r="I145" s="2"/>
    </row>
    <row r="146" spans="1:9" ht="18.75" customHeight="1">
      <c r="A146" s="2" t="s">
        <v>54</v>
      </c>
      <c r="B146" s="20" t="s">
        <v>53</v>
      </c>
      <c r="C146" s="20" t="s">
        <v>53</v>
      </c>
      <c r="D146" s="20" t="s">
        <v>53</v>
      </c>
      <c r="E146" s="20" t="s">
        <v>53</v>
      </c>
      <c r="F146" s="20" t="s">
        <v>53</v>
      </c>
      <c r="G146" s="20" t="s">
        <v>53</v>
      </c>
      <c r="H146" s="20" t="s">
        <v>53</v>
      </c>
      <c r="I146" s="20" t="s">
        <v>53</v>
      </c>
    </row>
    <row r="147" spans="1:9">
      <c r="A147" s="2" t="s">
        <v>11</v>
      </c>
      <c r="B147" s="9">
        <f>B135*2000/B$125/1000000</f>
        <v>3.4048948891715405E-2</v>
      </c>
      <c r="C147" s="9">
        <f>C135*2000/C$125/1000000</f>
        <v>4.0120383520516424E-2</v>
      </c>
      <c r="D147" s="9">
        <f>D135*2000/D$125/1000000</f>
        <v>3.5609786950706039E-2</v>
      </c>
      <c r="E147" s="9">
        <f>E135*2000/E$125/1000000</f>
        <v>3.4843659407405747E-2</v>
      </c>
      <c r="F147" s="9">
        <f>F135*2000/F$125/1000000</f>
        <v>3.8746928099327775E-2</v>
      </c>
      <c r="G147" s="9">
        <f>G135*2000/G$125/1000000</f>
        <v>3.4686433879062888E-2</v>
      </c>
      <c r="H147" s="9">
        <f>H135*2000/H$125/1000000</f>
        <v>3.63405478587518E-2</v>
      </c>
      <c r="I147" s="10" t="s">
        <v>19</v>
      </c>
    </row>
    <row r="148" spans="1:9">
      <c r="A148" s="2" t="s">
        <v>35</v>
      </c>
      <c r="B148" s="9">
        <f>B136*2000/B$125/1000000</f>
        <v>0.21768025818147244</v>
      </c>
      <c r="C148" s="9">
        <f>C136*2000/C$125/1000000</f>
        <v>0.23885663161182635</v>
      </c>
      <c r="D148" s="9">
        <f>D136*2000/D$125/1000000</f>
        <v>0.1568051579644901</v>
      </c>
      <c r="E148" s="9">
        <f>E136*2000/E$125/1000000</f>
        <v>0.18174346385743373</v>
      </c>
      <c r="F148" s="9">
        <f>F136*2000/F$125/1000000</f>
        <v>0.21439984717566779</v>
      </c>
      <c r="G148" s="9">
        <f>G136*2000/G$125/1000000</f>
        <v>0.19220159736992076</v>
      </c>
      <c r="H148" s="9">
        <f>H136*2000/H$125/1000000</f>
        <v>0.19993159476701391</v>
      </c>
      <c r="I148" s="10" t="s">
        <v>19</v>
      </c>
    </row>
    <row r="149" spans="1:9">
      <c r="A149" s="2" t="s">
        <v>14</v>
      </c>
      <c r="B149" s="9">
        <f>B137*2000/B$125/1000000</f>
        <v>0.36020234120203565</v>
      </c>
      <c r="C149" s="9">
        <f>C137*2000/C$125/1000000</f>
        <v>0.26911510621710383</v>
      </c>
      <c r="D149" s="9">
        <f>D137*2000/D$125/1000000</f>
        <v>0.3361074899556441</v>
      </c>
      <c r="E149" s="9">
        <f>E137*2000/E$125/1000000</f>
        <v>0.37297406734135069</v>
      </c>
      <c r="F149" s="9">
        <f>F137*2000/F$125/1000000</f>
        <v>0.34239919720027406</v>
      </c>
      <c r="G149" s="9">
        <f>G137*2000/G$125/1000000</f>
        <v>0.36670219447056118</v>
      </c>
      <c r="H149" s="9">
        <f>H137*2000/H$125/1000000</f>
        <v>0.34249902702474955</v>
      </c>
      <c r="I149" s="10" t="s">
        <v>19</v>
      </c>
    </row>
    <row r="150" spans="1:9">
      <c r="A150" s="2" t="s">
        <v>16</v>
      </c>
      <c r="B150" s="9">
        <f>B138*2000/B$125/1000000</f>
        <v>2.9454727016242259E-3</v>
      </c>
      <c r="C150" s="9">
        <f>C138*2000/C$125/1000000</f>
        <v>2.2393115370179999E-3</v>
      </c>
      <c r="D150" s="9">
        <f>D138*2000/D$125/1000000</f>
        <v>2.2392154757149372E-3</v>
      </c>
      <c r="E150" s="9">
        <f>E138*2000/E$125/1000000</f>
        <v>3.3252831368550777E-3</v>
      </c>
      <c r="F150" s="9">
        <f>F138*2000/F$125/1000000</f>
        <v>2.7708160130090545E-3</v>
      </c>
      <c r="G150" s="9">
        <f>G138*2000/G$125/1000000</f>
        <v>2.8756101383699603E-3</v>
      </c>
      <c r="H150" s="9">
        <f>H138*2000/H$125/1000000</f>
        <v>2.7374392947808073E-3</v>
      </c>
      <c r="I150" s="10" t="s">
        <v>19</v>
      </c>
    </row>
    <row r="151" spans="1:9">
      <c r="A151" s="2" t="s">
        <v>15</v>
      </c>
      <c r="B151" s="9">
        <f>B139*2000/B$125/1000000</f>
        <v>2.1444198302590575E-2</v>
      </c>
      <c r="C151" s="9">
        <f>C139*2000/C$125/1000000</f>
        <v>1.4780611291599648E-2</v>
      </c>
      <c r="D151" s="9">
        <f>D139*2000/D$125/1000000</f>
        <v>1.5046107546144253E-2</v>
      </c>
      <c r="E151" s="9">
        <f>E139*2000/E$125/1000000</f>
        <v>2.0994740242123635E-2</v>
      </c>
      <c r="F151" s="9">
        <f>F139*2000/F$125/1000000</f>
        <v>1.799840751417946E-2</v>
      </c>
      <c r="G151" s="9">
        <f>G139*2000/G$125/1000000</f>
        <v>2.0581038122908644E-2</v>
      </c>
      <c r="H151" s="9">
        <f>H139*2000/H$125/1000000</f>
        <v>1.8534994398445095E-2</v>
      </c>
      <c r="I151" s="10" t="s">
        <v>19</v>
      </c>
    </row>
    <row r="152" spans="1:9">
      <c r="A152" s="2" t="s">
        <v>17</v>
      </c>
      <c r="B152" s="9">
        <f>B140*2000/B$125/1000000</f>
        <v>6.0322954077180186E-6</v>
      </c>
      <c r="C152" s="9">
        <f>C140*2000/C$125/1000000</f>
        <v>5.0854689536041676E-6</v>
      </c>
      <c r="D152" s="9">
        <f>D140*2000/D$125/1000000</f>
        <v>4.2557705497294569E-6</v>
      </c>
      <c r="E152" s="9">
        <f>E140*2000/E$125/1000000</f>
        <v>6.7075827772637089E-6</v>
      </c>
      <c r="F152" s="9">
        <f>F140*2000/F$125/1000000</f>
        <v>5.6340885628935941E-6</v>
      </c>
      <c r="G152" s="9">
        <f>G140*2000/G$125/1000000</f>
        <v>5.4875004168669859E-6</v>
      </c>
      <c r="H152" s="9">
        <f>H140*2000/H$125/1000000</f>
        <v>5.5238890657732176E-6</v>
      </c>
      <c r="I152" s="10" t="s">
        <v>19</v>
      </c>
    </row>
    <row r="153" spans="1:9" ht="18" customHeight="1">
      <c r="A153" s="2" t="s">
        <v>36</v>
      </c>
      <c r="B153" s="9">
        <f>B141*2000/B$125/1000000</f>
        <v>5.593869531364511E-4</v>
      </c>
      <c r="C153" s="9">
        <f>C141*2000/C$125/1000000</f>
        <v>4.3891418250104151E-3</v>
      </c>
      <c r="D153" s="9">
        <f>D141*2000/D$125/1000000</f>
        <v>2.4504517789462601E-3</v>
      </c>
      <c r="E153" s="9">
        <f>E141*2000/E$125/1000000</f>
        <v>2.9380942513691907E-4</v>
      </c>
      <c r="F153" s="9">
        <f>F141*2000/F$125/1000000</f>
        <v>2.2294343560931595E-3</v>
      </c>
      <c r="G153" s="9">
        <f>G141*2000/G$125/1000000</f>
        <v>9.2186121441417397E-4</v>
      </c>
      <c r="H153" s="9">
        <f>H141*2000/H$125/1000000</f>
        <v>1.7850846202399722E-3</v>
      </c>
      <c r="I153" s="10" t="s">
        <v>19</v>
      </c>
    </row>
    <row r="154" spans="1:9">
      <c r="A154" s="2" t="s">
        <v>18</v>
      </c>
      <c r="B154" s="9">
        <f>B142*2000/B$125/1000000</f>
        <v>148.19239513838198</v>
      </c>
      <c r="C154" s="9">
        <f>C142*2000/C$125/1000000</f>
        <v>121.20613780824435</v>
      </c>
      <c r="D154" s="9">
        <f>D142*2000/D$125/1000000</f>
        <v>137.43301484863301</v>
      </c>
      <c r="E154" s="9">
        <f>E142*2000/E$125/1000000</f>
        <v>155.29896114078932</v>
      </c>
      <c r="F154" s="9">
        <f>F142*2000/F$125/1000000</f>
        <v>143.5460583287676</v>
      </c>
      <c r="G154" s="9">
        <f>G142*2000/G$125/1000000</f>
        <v>153.20603497591736</v>
      </c>
      <c r="H154" s="9">
        <f>H142*2000/H$125/1000000</f>
        <v>143.64227388443152</v>
      </c>
      <c r="I154" s="10" t="s">
        <v>19</v>
      </c>
    </row>
    <row r="155" spans="1:9" ht="19.5" customHeight="1">
      <c r="A155" s="11" t="s">
        <v>20</v>
      </c>
      <c r="B155" s="12">
        <f>SUM(B147:B153)</f>
        <v>0.63688663852798244</v>
      </c>
      <c r="C155" s="12">
        <f>SUM(C147:C153)</f>
        <v>0.56950627147202826</v>
      </c>
      <c r="D155" s="12">
        <f>SUM(D147:D153)</f>
        <v>0.54826246544219537</v>
      </c>
      <c r="E155" s="12">
        <f>SUM(E147:E153)</f>
        <v>0.61418173099308304</v>
      </c>
      <c r="F155" s="12">
        <f>SUM(F147:F153)</f>
        <v>0.61855026444711425</v>
      </c>
      <c r="G155" s="12">
        <f>SUM(G147:G153)</f>
        <v>0.61797422269565461</v>
      </c>
      <c r="H155" s="12">
        <f>SUM(H147:H153)</f>
        <v>0.60183421185304686</v>
      </c>
      <c r="I155" s="22" t="s">
        <v>19</v>
      </c>
    </row>
  </sheetData>
  <pageMargins left="0.75" right="0.75" top="1" bottom="1" header="0.511811023622047" footer="0.511811023622047"/>
  <pageSetup fitToHeight="0" orientation="landscape" horizontalDpi="300" verticalDpi="300"/>
  <legacy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M54"/>
  <sheetViews>
    <sheetView zoomScaleNormal="100" workbookViewId="0"/>
  </sheetViews>
  <sheetFormatPr defaultColWidth="8.85546875" defaultRowHeight="15"/>
  <cols>
    <col min="1" max="1" width="9.42578125" style="23" customWidth="1"/>
    <col min="2" max="2" width="23.7109375" style="23" customWidth="1"/>
    <col min="3" max="3" width="22.5703125" style="23" customWidth="1"/>
    <col min="4" max="4" width="12.85546875" style="23" customWidth="1"/>
    <col min="5" max="5" width="13.7109375" style="23" customWidth="1"/>
    <col min="6" max="6" width="8.85546875" style="23"/>
    <col min="7" max="7" width="10.28515625" style="23" customWidth="1"/>
    <col min="8" max="8" width="10.42578125" style="23" customWidth="1"/>
    <col min="9" max="9" width="10.28515625" style="23" customWidth="1"/>
    <col min="10" max="10" width="11.7109375" style="23" customWidth="1"/>
    <col min="11" max="11" width="8.85546875" style="23"/>
    <col min="12" max="12" width="12.5703125" style="23" customWidth="1"/>
    <col min="13" max="13" width="12.42578125" style="23" customWidth="1"/>
    <col min="14" max="14" width="10.7109375" style="23" customWidth="1"/>
    <col min="15" max="15" width="10.42578125" style="23" customWidth="1"/>
    <col min="16" max="16384" width="8.85546875" style="23"/>
  </cols>
  <sheetData>
    <row r="2" spans="1:13" ht="14.25" customHeight="1">
      <c r="A2" s="566" t="s">
        <v>55</v>
      </c>
      <c r="B2" s="566"/>
      <c r="C2" s="566"/>
      <c r="D2" s="566"/>
      <c r="E2" s="566"/>
      <c r="F2" s="566"/>
      <c r="G2" s="566"/>
      <c r="H2" s="566"/>
      <c r="I2" s="566"/>
    </row>
    <row r="3" spans="1:13" ht="14.25" customHeight="1">
      <c r="A3" s="570" t="s">
        <v>56</v>
      </c>
      <c r="B3" s="570"/>
      <c r="C3" s="570"/>
      <c r="D3" s="570"/>
      <c r="E3" s="570"/>
      <c r="F3" s="569" t="s">
        <v>57</v>
      </c>
      <c r="G3" s="569"/>
      <c r="H3" s="569"/>
      <c r="I3" s="569"/>
      <c r="L3" s="23" t="s">
        <v>58</v>
      </c>
    </row>
    <row r="4" spans="1:13" ht="14.25" customHeight="1">
      <c r="A4" s="26" t="s">
        <v>59</v>
      </c>
      <c r="B4" s="24" t="s">
        <v>60</v>
      </c>
      <c r="C4" s="24" t="s">
        <v>61</v>
      </c>
      <c r="D4" s="24" t="s">
        <v>62</v>
      </c>
      <c r="E4" s="24" t="s">
        <v>63</v>
      </c>
      <c r="F4" s="24" t="s">
        <v>60</v>
      </c>
      <c r="G4" s="24" t="s">
        <v>61</v>
      </c>
      <c r="H4" s="27" t="s">
        <v>62</v>
      </c>
      <c r="I4" s="27" t="s">
        <v>63</v>
      </c>
      <c r="J4" s="28" t="s">
        <v>60</v>
      </c>
      <c r="K4" s="29" t="s">
        <v>61</v>
      </c>
      <c r="L4" s="30" t="s">
        <v>62</v>
      </c>
      <c r="M4" s="31" t="s">
        <v>63</v>
      </c>
    </row>
    <row r="5" spans="1:13" ht="14.25" customHeight="1">
      <c r="A5" s="32">
        <v>46023</v>
      </c>
      <c r="B5" s="33">
        <v>0</v>
      </c>
      <c r="C5" s="33">
        <v>0</v>
      </c>
      <c r="D5" s="33"/>
      <c r="E5" s="33"/>
      <c r="F5" s="33">
        <v>0</v>
      </c>
      <c r="G5" s="34">
        <v>0</v>
      </c>
      <c r="H5" s="35">
        <v>0.48</v>
      </c>
      <c r="I5" s="36">
        <v>0.48</v>
      </c>
      <c r="J5" s="37">
        <v>0</v>
      </c>
      <c r="K5" s="33">
        <v>0</v>
      </c>
      <c r="L5" s="38"/>
      <c r="M5" s="39"/>
    </row>
    <row r="6" spans="1:13" ht="14.25" customHeight="1">
      <c r="A6" s="40">
        <v>46054</v>
      </c>
      <c r="B6" s="41">
        <v>0</v>
      </c>
      <c r="C6" s="41">
        <v>0</v>
      </c>
      <c r="D6" s="41"/>
      <c r="E6" s="41"/>
      <c r="F6" s="41">
        <v>0</v>
      </c>
      <c r="G6" s="42">
        <v>0</v>
      </c>
      <c r="H6" s="43">
        <v>0.48</v>
      </c>
      <c r="I6" s="44">
        <v>0.48</v>
      </c>
      <c r="J6" s="45">
        <v>0</v>
      </c>
      <c r="K6" s="41">
        <v>0</v>
      </c>
      <c r="L6" s="46"/>
      <c r="M6" s="47"/>
    </row>
    <row r="7" spans="1:13" ht="14.25" customHeight="1">
      <c r="A7" s="40">
        <v>46082</v>
      </c>
      <c r="B7" s="41">
        <v>0</v>
      </c>
      <c r="C7" s="41">
        <v>0</v>
      </c>
      <c r="D7" s="41"/>
      <c r="E7" s="41"/>
      <c r="F7" s="41">
        <v>0</v>
      </c>
      <c r="G7" s="42">
        <v>0</v>
      </c>
      <c r="H7" s="43">
        <v>0.48</v>
      </c>
      <c r="I7" s="44">
        <v>0.48</v>
      </c>
      <c r="J7" s="45">
        <v>0</v>
      </c>
      <c r="K7" s="41">
        <v>0</v>
      </c>
      <c r="L7" s="46"/>
      <c r="M7" s="47"/>
    </row>
    <row r="8" spans="1:13" ht="14.25" customHeight="1">
      <c r="A8" s="40">
        <v>46113</v>
      </c>
      <c r="B8" s="41">
        <v>0</v>
      </c>
      <c r="C8" s="41">
        <v>0</v>
      </c>
      <c r="D8" s="41"/>
      <c r="E8" s="41"/>
      <c r="F8" s="41">
        <v>0</v>
      </c>
      <c r="G8" s="42">
        <v>0</v>
      </c>
      <c r="H8" s="43">
        <v>0.48</v>
      </c>
      <c r="I8" s="44">
        <v>0.47</v>
      </c>
      <c r="J8" s="45">
        <v>0</v>
      </c>
      <c r="K8" s="41">
        <v>0</v>
      </c>
      <c r="L8" s="46"/>
      <c r="M8" s="47"/>
    </row>
    <row r="9" spans="1:13" ht="14.25" customHeight="1">
      <c r="A9" s="40">
        <v>46143</v>
      </c>
      <c r="B9" s="41">
        <v>0</v>
      </c>
      <c r="C9" s="41">
        <v>0</v>
      </c>
      <c r="D9" s="41"/>
      <c r="E9" s="41"/>
      <c r="F9" s="41">
        <v>0</v>
      </c>
      <c r="G9" s="42">
        <v>0</v>
      </c>
      <c r="H9" s="43">
        <v>0.47</v>
      </c>
      <c r="I9" s="44">
        <v>0.47</v>
      </c>
      <c r="J9" s="45">
        <v>0</v>
      </c>
      <c r="K9" s="41">
        <v>0</v>
      </c>
      <c r="L9" s="46"/>
      <c r="M9" s="47"/>
    </row>
    <row r="10" spans="1:13" ht="14.25" customHeight="1">
      <c r="A10" s="48">
        <v>46174</v>
      </c>
      <c r="B10" s="49">
        <v>0</v>
      </c>
      <c r="C10" s="49">
        <v>0</v>
      </c>
      <c r="D10" s="49">
        <v>490512.54</v>
      </c>
      <c r="E10" s="49">
        <v>1798110.3</v>
      </c>
      <c r="F10" s="49">
        <v>0</v>
      </c>
      <c r="G10" s="50">
        <v>0</v>
      </c>
      <c r="H10" s="51">
        <v>0.47</v>
      </c>
      <c r="I10" s="52">
        <v>0.47</v>
      </c>
      <c r="J10" s="53">
        <v>0</v>
      </c>
      <c r="K10" s="49">
        <v>0</v>
      </c>
      <c r="L10" s="54"/>
      <c r="M10" s="52"/>
    </row>
    <row r="11" spans="1:13" ht="14.25" customHeight="1">
      <c r="A11" s="40">
        <v>46204</v>
      </c>
      <c r="B11" s="41">
        <v>0</v>
      </c>
      <c r="C11" s="41">
        <v>0</v>
      </c>
      <c r="D11" s="41">
        <f>SUM(L11*42)</f>
        <v>0</v>
      </c>
      <c r="E11" s="41">
        <f>SUM(M11*42)</f>
        <v>0</v>
      </c>
      <c r="F11" s="41">
        <v>0</v>
      </c>
      <c r="G11" s="42">
        <v>0</v>
      </c>
      <c r="H11" s="43"/>
      <c r="I11" s="44"/>
      <c r="J11" s="45">
        <v>0</v>
      </c>
      <c r="K11" s="41">
        <v>0</v>
      </c>
      <c r="L11" s="55"/>
      <c r="M11" s="55"/>
    </row>
    <row r="12" spans="1:13" ht="14.25" customHeight="1">
      <c r="A12" s="40">
        <v>46235</v>
      </c>
      <c r="B12" s="41">
        <v>0</v>
      </c>
      <c r="C12" s="41">
        <v>0</v>
      </c>
      <c r="D12" s="41">
        <f>SUM(L12*42)</f>
        <v>0</v>
      </c>
      <c r="E12" s="41">
        <f>SUM(M12*42)</f>
        <v>0</v>
      </c>
      <c r="F12" s="41">
        <v>0</v>
      </c>
      <c r="G12" s="42">
        <v>0</v>
      </c>
      <c r="H12" s="43"/>
      <c r="I12" s="44"/>
      <c r="J12" s="45">
        <v>0</v>
      </c>
      <c r="K12" s="41">
        <v>0</v>
      </c>
      <c r="L12" s="55"/>
      <c r="M12" s="55"/>
    </row>
    <row r="13" spans="1:13" ht="14.25" customHeight="1">
      <c r="A13" s="40">
        <v>46266</v>
      </c>
      <c r="B13" s="41">
        <v>0</v>
      </c>
      <c r="C13" s="41">
        <v>0</v>
      </c>
      <c r="D13" s="41">
        <f>SUM(L13*42)</f>
        <v>0</v>
      </c>
      <c r="E13" s="41">
        <f>SUM(M13*42)</f>
        <v>0</v>
      </c>
      <c r="F13" s="41">
        <v>0</v>
      </c>
      <c r="G13" s="42">
        <v>0</v>
      </c>
      <c r="H13" s="43"/>
      <c r="I13" s="44"/>
      <c r="J13" s="45">
        <v>0</v>
      </c>
      <c r="K13" s="41">
        <v>0</v>
      </c>
      <c r="L13" s="55"/>
      <c r="M13" s="55"/>
    </row>
    <row r="14" spans="1:13" ht="14.25" customHeight="1">
      <c r="A14" s="40">
        <v>46296</v>
      </c>
      <c r="B14" s="41">
        <v>0</v>
      </c>
      <c r="C14" s="41">
        <v>0</v>
      </c>
      <c r="D14" s="41">
        <f>SUM(L14*42)</f>
        <v>0</v>
      </c>
      <c r="E14" s="41">
        <f>SUM(M14*42)</f>
        <v>0</v>
      </c>
      <c r="F14" s="41">
        <v>0</v>
      </c>
      <c r="G14" s="42">
        <v>0</v>
      </c>
      <c r="H14" s="43"/>
      <c r="I14" s="44"/>
      <c r="J14" s="45">
        <v>0</v>
      </c>
      <c r="K14" s="41">
        <v>0</v>
      </c>
      <c r="L14" s="55"/>
      <c r="M14" s="55"/>
    </row>
    <row r="15" spans="1:13" ht="14.25" customHeight="1">
      <c r="A15" s="40">
        <v>46327</v>
      </c>
      <c r="B15" s="41">
        <v>0</v>
      </c>
      <c r="C15" s="41">
        <v>0</v>
      </c>
      <c r="D15" s="41">
        <f>SUM(L15*42)</f>
        <v>0</v>
      </c>
      <c r="E15" s="41">
        <f>SUM(M15*42)</f>
        <v>0</v>
      </c>
      <c r="F15" s="41">
        <v>0</v>
      </c>
      <c r="G15" s="42">
        <v>0</v>
      </c>
      <c r="H15" s="43"/>
      <c r="I15" s="44"/>
      <c r="J15" s="45">
        <v>0</v>
      </c>
      <c r="K15" s="41">
        <v>0</v>
      </c>
      <c r="L15" s="55"/>
      <c r="M15" s="55"/>
    </row>
    <row r="16" spans="1:13" ht="14.25" customHeight="1">
      <c r="A16" s="40">
        <v>46357</v>
      </c>
      <c r="B16" s="56">
        <v>0</v>
      </c>
      <c r="C16" s="56">
        <v>0</v>
      </c>
      <c r="D16" s="56">
        <f>SUM(L16*42)</f>
        <v>0</v>
      </c>
      <c r="E16" s="56">
        <f>SUM(M16*42)</f>
        <v>0</v>
      </c>
      <c r="F16" s="41">
        <v>0</v>
      </c>
      <c r="G16" s="42">
        <v>0</v>
      </c>
      <c r="H16" s="57"/>
      <c r="I16" s="58"/>
      <c r="J16" s="59">
        <v>0</v>
      </c>
      <c r="K16" s="56">
        <v>0</v>
      </c>
      <c r="L16" s="55"/>
      <c r="M16" s="55"/>
    </row>
    <row r="17" spans="1:9" ht="14.25" customHeight="1">
      <c r="A17" s="24" t="s">
        <v>20</v>
      </c>
      <c r="B17" s="60">
        <f>SUM(B5:B16)</f>
        <v>0</v>
      </c>
      <c r="C17" s="60">
        <f>SUM(C5:C16)</f>
        <v>0</v>
      </c>
      <c r="D17" s="60">
        <f>SUM(D5:D16)</f>
        <v>490512.54</v>
      </c>
      <c r="E17" s="60">
        <f>SUM(E5:E16)</f>
        <v>1798110.3</v>
      </c>
      <c r="F17" s="61">
        <f>AVERAGE(F5:F16)</f>
        <v>0</v>
      </c>
      <c r="G17" s="61">
        <f>AVERAGE(G5:G16)</f>
        <v>0</v>
      </c>
      <c r="H17" s="62"/>
      <c r="I17" s="62"/>
    </row>
    <row r="19" spans="1:9" ht="14.25" customHeight="1">
      <c r="B19" s="63"/>
    </row>
    <row r="21" spans="1:9" ht="14.25" customHeight="1">
      <c r="A21" s="566" t="s">
        <v>64</v>
      </c>
      <c r="B21" s="566"/>
      <c r="C21" s="566"/>
      <c r="D21" s="566"/>
      <c r="E21" s="566"/>
    </row>
    <row r="22" spans="1:9" ht="14.25" customHeight="1">
      <c r="A22" s="567" t="s">
        <v>59</v>
      </c>
      <c r="B22" s="571" t="s">
        <v>56</v>
      </c>
      <c r="C22" s="571"/>
      <c r="D22" s="569" t="s">
        <v>57</v>
      </c>
      <c r="E22" s="569"/>
      <c r="G22" s="23" t="s">
        <v>58</v>
      </c>
    </row>
    <row r="23" spans="1:9" ht="14.25" customHeight="1">
      <c r="A23" s="567"/>
      <c r="B23" s="30" t="s">
        <v>65</v>
      </c>
      <c r="C23" s="29" t="s">
        <v>66</v>
      </c>
      <c r="D23" s="30" t="s">
        <v>65</v>
      </c>
      <c r="E23" s="31" t="s">
        <v>66</v>
      </c>
      <c r="G23" s="30" t="s">
        <v>65</v>
      </c>
      <c r="H23" s="31" t="s">
        <v>66</v>
      </c>
    </row>
    <row r="24" spans="1:9" ht="14.25" customHeight="1">
      <c r="A24" s="32">
        <f>A5</f>
        <v>46023</v>
      </c>
      <c r="B24" s="33">
        <v>0</v>
      </c>
      <c r="C24" s="33">
        <v>0</v>
      </c>
      <c r="D24" s="33">
        <v>0.01</v>
      </c>
      <c r="E24" s="33">
        <v>0.01</v>
      </c>
      <c r="G24" s="55">
        <v>0</v>
      </c>
      <c r="H24" s="55">
        <v>0</v>
      </c>
    </row>
    <row r="25" spans="1:9" ht="14.25" customHeight="1">
      <c r="A25" s="40">
        <f>A6</f>
        <v>46054</v>
      </c>
      <c r="B25" s="41">
        <v>0</v>
      </c>
      <c r="C25" s="41">
        <v>0</v>
      </c>
      <c r="D25" s="41">
        <v>0.01</v>
      </c>
      <c r="E25" s="41">
        <v>0.01</v>
      </c>
      <c r="G25" s="55">
        <v>0</v>
      </c>
      <c r="H25" s="55">
        <v>0</v>
      </c>
    </row>
    <row r="26" spans="1:9" ht="14.25" customHeight="1">
      <c r="A26" s="40">
        <f>A7</f>
        <v>46082</v>
      </c>
      <c r="B26" s="41">
        <v>0</v>
      </c>
      <c r="C26" s="41">
        <v>0</v>
      </c>
      <c r="D26" s="41">
        <v>0.01</v>
      </c>
      <c r="E26" s="41">
        <v>0.01</v>
      </c>
      <c r="G26" s="55">
        <v>0</v>
      </c>
      <c r="H26" s="55">
        <v>0</v>
      </c>
    </row>
    <row r="27" spans="1:9" ht="14.25" customHeight="1">
      <c r="A27" s="40">
        <f>A8</f>
        <v>46113</v>
      </c>
      <c r="B27" s="41">
        <v>0</v>
      </c>
      <c r="C27" s="41">
        <v>0</v>
      </c>
      <c r="D27" s="41">
        <v>0.01</v>
      </c>
      <c r="E27" s="41">
        <v>0.01</v>
      </c>
      <c r="G27" s="55">
        <v>0</v>
      </c>
      <c r="H27" s="55">
        <v>0</v>
      </c>
    </row>
    <row r="28" spans="1:9" ht="14.25" customHeight="1">
      <c r="A28" s="40">
        <f>A9</f>
        <v>46143</v>
      </c>
      <c r="B28" s="41">
        <v>0</v>
      </c>
      <c r="C28" s="41">
        <v>0</v>
      </c>
      <c r="D28" s="41">
        <v>0.01</v>
      </c>
      <c r="E28" s="41">
        <v>0.01</v>
      </c>
      <c r="G28" s="55">
        <v>0</v>
      </c>
      <c r="H28" s="55">
        <v>0</v>
      </c>
    </row>
    <row r="29" spans="1:9" ht="14.25" customHeight="1">
      <c r="A29" s="48">
        <f>A10</f>
        <v>46174</v>
      </c>
      <c r="B29" s="49">
        <v>0</v>
      </c>
      <c r="C29" s="49">
        <v>0</v>
      </c>
      <c r="D29" s="49">
        <v>0.01</v>
      </c>
      <c r="E29" s="49">
        <v>0.01</v>
      </c>
      <c r="F29" s="64"/>
      <c r="G29" s="65">
        <v>0</v>
      </c>
      <c r="H29" s="65">
        <v>0</v>
      </c>
    </row>
    <row r="30" spans="1:9" ht="14.25" customHeight="1">
      <c r="A30" s="40">
        <f>A11</f>
        <v>46204</v>
      </c>
      <c r="B30" s="41">
        <v>0</v>
      </c>
      <c r="C30" s="41">
        <v>0</v>
      </c>
      <c r="D30" s="41">
        <v>0.01</v>
      </c>
      <c r="E30" s="41">
        <v>0.01</v>
      </c>
      <c r="G30" s="55"/>
      <c r="H30" s="55"/>
    </row>
    <row r="31" spans="1:9" ht="14.25" customHeight="1">
      <c r="A31" s="40">
        <f>A12</f>
        <v>46235</v>
      </c>
      <c r="B31" s="41">
        <v>0</v>
      </c>
      <c r="C31" s="41">
        <v>0</v>
      </c>
      <c r="D31" s="41">
        <v>0.01</v>
      </c>
      <c r="E31" s="41">
        <v>0.01</v>
      </c>
      <c r="G31" s="55"/>
      <c r="H31" s="55"/>
    </row>
    <row r="32" spans="1:9" ht="14.25" customHeight="1">
      <c r="A32" s="40">
        <f>A13</f>
        <v>46266</v>
      </c>
      <c r="B32" s="41">
        <v>0</v>
      </c>
      <c r="C32" s="41">
        <v>0</v>
      </c>
      <c r="D32" s="41">
        <v>0.01</v>
      </c>
      <c r="E32" s="41">
        <v>0.01</v>
      </c>
      <c r="G32" s="55"/>
      <c r="H32" s="55"/>
    </row>
    <row r="33" spans="1:12" ht="14.25" customHeight="1">
      <c r="A33" s="40">
        <f>A14</f>
        <v>46296</v>
      </c>
      <c r="B33" s="41">
        <v>0</v>
      </c>
      <c r="C33" s="41">
        <v>0</v>
      </c>
      <c r="D33" s="41">
        <v>0.01</v>
      </c>
      <c r="E33" s="41">
        <v>0.01</v>
      </c>
      <c r="G33" s="55"/>
      <c r="H33" s="55"/>
    </row>
    <row r="34" spans="1:12" ht="14.25" customHeight="1">
      <c r="A34" s="40">
        <f>A15</f>
        <v>46327</v>
      </c>
      <c r="B34" s="41">
        <v>0</v>
      </c>
      <c r="C34" s="41">
        <v>0</v>
      </c>
      <c r="D34" s="41">
        <v>0.01</v>
      </c>
      <c r="E34" s="41">
        <v>0.01</v>
      </c>
      <c r="G34" s="55"/>
      <c r="H34" s="55"/>
    </row>
    <row r="35" spans="1:12" ht="14.25" customHeight="1">
      <c r="A35" s="66">
        <f>A16</f>
        <v>46357</v>
      </c>
      <c r="B35" s="41">
        <v>0</v>
      </c>
      <c r="C35" s="56">
        <v>0</v>
      </c>
      <c r="D35" s="56">
        <v>0.01</v>
      </c>
      <c r="E35" s="56">
        <v>0.01</v>
      </c>
      <c r="G35" s="55"/>
      <c r="H35" s="55"/>
    </row>
    <row r="36" spans="1:12" ht="14.25" customHeight="1">
      <c r="A36" s="24" t="s">
        <v>20</v>
      </c>
      <c r="B36" s="60">
        <f>SUM(B24:B35)</f>
        <v>0</v>
      </c>
      <c r="C36" s="60">
        <f>SUM(C24:C35)</f>
        <v>0</v>
      </c>
      <c r="D36" s="67"/>
      <c r="E36" s="67"/>
    </row>
    <row r="37" spans="1:12" ht="14.25" customHeight="1">
      <c r="L37" s="68"/>
    </row>
    <row r="39" spans="1:12" ht="14.25" customHeight="1">
      <c r="A39" s="566" t="s">
        <v>67</v>
      </c>
      <c r="B39" s="566"/>
      <c r="C39" s="566"/>
      <c r="D39" s="566"/>
      <c r="E39" s="566"/>
    </row>
    <row r="40" spans="1:12" ht="14.25" customHeight="1">
      <c r="A40" s="567" t="s">
        <v>59</v>
      </c>
      <c r="B40" s="568" t="s">
        <v>68</v>
      </c>
      <c r="C40" s="568"/>
      <c r="D40" s="569" t="s">
        <v>57</v>
      </c>
      <c r="E40" s="569"/>
    </row>
    <row r="41" spans="1:12" ht="14.25" customHeight="1">
      <c r="A41" s="567"/>
      <c r="B41" s="30" t="s">
        <v>69</v>
      </c>
      <c r="C41" s="29" t="s">
        <v>70</v>
      </c>
      <c r="D41" s="30" t="s">
        <v>69</v>
      </c>
      <c r="E41" s="31" t="s">
        <v>70</v>
      </c>
    </row>
    <row r="42" spans="1:12" ht="14.25" customHeight="1">
      <c r="A42" s="32">
        <f>A5</f>
        <v>46023</v>
      </c>
      <c r="B42" s="69"/>
      <c r="C42" s="69"/>
      <c r="D42" s="70">
        <v>4.6999999999999997E-5</v>
      </c>
      <c r="E42" s="70">
        <v>4.6999999999999997E-5</v>
      </c>
    </row>
    <row r="43" spans="1:12" ht="14.25" customHeight="1">
      <c r="A43" s="40">
        <f>A6</f>
        <v>46054</v>
      </c>
      <c r="B43" s="71"/>
      <c r="C43" s="71"/>
      <c r="D43" s="72">
        <v>2.9E-5</v>
      </c>
      <c r="E43" s="72">
        <v>2.9E-5</v>
      </c>
    </row>
    <row r="44" spans="1:12" ht="14.25" customHeight="1">
      <c r="A44" s="40">
        <f>A7</f>
        <v>46082</v>
      </c>
      <c r="B44" s="71"/>
      <c r="C44" s="71"/>
      <c r="D44" s="72">
        <v>8.1000000000000004E-5</v>
      </c>
      <c r="E44" s="72">
        <v>8.1000000000000004E-5</v>
      </c>
    </row>
    <row r="45" spans="1:12" ht="14.25" customHeight="1">
      <c r="A45" s="40">
        <f>A8</f>
        <v>46113</v>
      </c>
      <c r="B45" s="71"/>
      <c r="C45" s="71"/>
      <c r="D45" s="72">
        <v>7.6000000000000004E-5</v>
      </c>
      <c r="E45" s="72">
        <v>7.6000000000000004E-5</v>
      </c>
    </row>
    <row r="46" spans="1:12" ht="14.25" customHeight="1">
      <c r="A46" s="40">
        <f>A9</f>
        <v>46143</v>
      </c>
      <c r="B46" s="71"/>
      <c r="C46" s="71"/>
      <c r="D46" s="72">
        <v>1.7000000000000001E-4</v>
      </c>
      <c r="E46" s="72">
        <v>1.7000000000000001E-4</v>
      </c>
    </row>
    <row r="47" spans="1:12" ht="14.25" customHeight="1">
      <c r="A47" s="48">
        <f>A10</f>
        <v>46174</v>
      </c>
      <c r="B47" s="73">
        <v>2234892060</v>
      </c>
      <c r="C47" s="73">
        <v>1965580205.8499999</v>
      </c>
      <c r="D47" s="74">
        <v>2.2799999999999999E-5</v>
      </c>
      <c r="E47" s="74">
        <v>2.2799999999999999E-5</v>
      </c>
    </row>
    <row r="48" spans="1:12" ht="14.25" customHeight="1">
      <c r="A48" s="40">
        <f>A11</f>
        <v>46204</v>
      </c>
      <c r="B48" s="75"/>
      <c r="C48" s="75"/>
      <c r="D48" s="76"/>
      <c r="E48" s="76"/>
    </row>
    <row r="49" spans="1:5" ht="14.25" customHeight="1">
      <c r="A49" s="40">
        <f>A12</f>
        <v>46235</v>
      </c>
      <c r="B49" s="75"/>
      <c r="C49" s="75"/>
      <c r="D49" s="77"/>
      <c r="E49" s="77"/>
    </row>
    <row r="50" spans="1:5" ht="14.25" customHeight="1">
      <c r="A50" s="40">
        <f>A13</f>
        <v>46266</v>
      </c>
      <c r="B50" s="75"/>
      <c r="C50" s="75"/>
      <c r="D50" s="77"/>
      <c r="E50" s="77"/>
    </row>
    <row r="51" spans="1:5" ht="14.25" customHeight="1">
      <c r="A51" s="40">
        <f>A14</f>
        <v>46296</v>
      </c>
      <c r="B51" s="75"/>
      <c r="C51" s="75"/>
      <c r="D51" s="77"/>
      <c r="E51" s="77"/>
    </row>
    <row r="52" spans="1:5" ht="14.25" customHeight="1">
      <c r="A52" s="40">
        <f>A15</f>
        <v>46327</v>
      </c>
      <c r="B52" s="75"/>
      <c r="C52" s="75"/>
      <c r="D52" s="77"/>
      <c r="E52" s="77"/>
    </row>
    <row r="53" spans="1:5" ht="14.25" customHeight="1">
      <c r="A53" s="66">
        <f>A16</f>
        <v>46357</v>
      </c>
      <c r="B53" s="78"/>
      <c r="C53" s="78"/>
      <c r="D53" s="77"/>
      <c r="E53" s="77"/>
    </row>
    <row r="54" spans="1:5" ht="14.25" customHeight="1">
      <c r="A54" s="24" t="s">
        <v>71</v>
      </c>
      <c r="B54" s="79">
        <f>SUM(B42:B53)</f>
        <v>2234892060</v>
      </c>
      <c r="C54" s="79">
        <f>SUM(C42:C53)</f>
        <v>1965580205.8499999</v>
      </c>
      <c r="D54" s="80">
        <f>0</f>
        <v>0</v>
      </c>
      <c r="E54" s="80">
        <f>0</f>
        <v>0</v>
      </c>
    </row>
  </sheetData>
  <mergeCells count="11">
    <mergeCell ref="A39:E39"/>
    <mergeCell ref="A40:A41"/>
    <mergeCell ref="B40:C40"/>
    <mergeCell ref="D40:E40"/>
    <mergeCell ref="A2:I2"/>
    <mergeCell ref="A3:E3"/>
    <mergeCell ref="F3:I3"/>
    <mergeCell ref="A21:E21"/>
    <mergeCell ref="A22:A23"/>
    <mergeCell ref="B22:C22"/>
    <mergeCell ref="D22:E22"/>
  </mergeCells>
  <pageMargins left="0.7" right="0.7" top="0.75" bottom="0.75" header="0.511811023622047" footer="0.511811023622047"/>
  <pageSetup paperSize="9" orientation="portrait"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R78"/>
  <sheetViews>
    <sheetView zoomScaleNormal="100" workbookViewId="0"/>
  </sheetViews>
  <sheetFormatPr defaultColWidth="8.7109375" defaultRowHeight="15"/>
  <cols>
    <col min="2" max="2" width="14.140625" customWidth="1"/>
    <col min="3" max="3" width="13.140625" customWidth="1"/>
    <col min="5" max="5" width="11.7109375" customWidth="1"/>
  </cols>
  <sheetData>
    <row r="1" spans="1:18" ht="14.25" customHeight="1">
      <c r="A1" s="81"/>
      <c r="B1" s="574" t="s">
        <v>72</v>
      </c>
      <c r="C1" s="574"/>
      <c r="D1" s="574"/>
      <c r="E1" s="574"/>
      <c r="F1" s="574"/>
      <c r="G1" s="574"/>
      <c r="H1" s="574"/>
      <c r="I1" s="574"/>
      <c r="J1" s="574"/>
    </row>
    <row r="2" spans="1:18" ht="14.25" customHeight="1">
      <c r="F2" s="82"/>
    </row>
    <row r="3" spans="1:18" ht="14.25" customHeight="1">
      <c r="B3" t="s">
        <v>73</v>
      </c>
    </row>
    <row r="5" spans="1:18" ht="14.25" customHeight="1">
      <c r="B5" t="s">
        <v>11</v>
      </c>
      <c r="C5" t="s">
        <v>74</v>
      </c>
    </row>
    <row r="6" spans="1:18" ht="14.25" customHeight="1">
      <c r="B6" t="s">
        <v>35</v>
      </c>
      <c r="C6" t="s">
        <v>75</v>
      </c>
    </row>
    <row r="7" spans="1:18" ht="14.25" customHeight="1">
      <c r="B7" t="s">
        <v>14</v>
      </c>
      <c r="C7" t="s">
        <v>76</v>
      </c>
    </row>
    <row r="8" spans="1:18" ht="14.25" customHeight="1">
      <c r="B8" t="s">
        <v>16</v>
      </c>
      <c r="C8" t="s">
        <v>77</v>
      </c>
    </row>
    <row r="9" spans="1:18" ht="14.25" customHeight="1">
      <c r="B9" t="s">
        <v>78</v>
      </c>
      <c r="C9" t="s">
        <v>79</v>
      </c>
    </row>
    <row r="10" spans="1:18" ht="14.25" customHeight="1">
      <c r="B10" s="83" t="s">
        <v>17</v>
      </c>
      <c r="C10" t="s">
        <v>80</v>
      </c>
    </row>
    <row r="11" spans="1:18" ht="14.25" customHeight="1">
      <c r="B11" s="83" t="s">
        <v>18</v>
      </c>
      <c r="C11" t="s">
        <v>81</v>
      </c>
    </row>
    <row r="12" spans="1:18" ht="14.25" customHeight="1">
      <c r="R12">
        <f>(73.96+0.003*25+0.0006*298)*2.2046</f>
        <v>163.61174348</v>
      </c>
    </row>
    <row r="13" spans="1:18" ht="14.25" customHeight="1">
      <c r="B13" t="s">
        <v>82</v>
      </c>
      <c r="C13" s="84">
        <f>'Costa Sur'!B29+'Costa Sur'!C29</f>
        <v>0</v>
      </c>
      <c r="D13" t="s">
        <v>83</v>
      </c>
    </row>
    <row r="14" spans="1:18" ht="14.25" customHeight="1">
      <c r="B14" s="85" t="s">
        <v>84</v>
      </c>
      <c r="C14" s="86">
        <f>MAX('Costa Sur'!D29:E29)</f>
        <v>0.01</v>
      </c>
    </row>
    <row r="17" spans="2:10" ht="14.25" customHeight="1">
      <c r="B17" t="s">
        <v>85</v>
      </c>
    </row>
    <row r="19" spans="2:10" ht="14.25" customHeight="1">
      <c r="B19" s="87" t="s">
        <v>86</v>
      </c>
      <c r="C19" s="88">
        <v>1.2E-2</v>
      </c>
      <c r="D19" s="89" t="s">
        <v>87</v>
      </c>
      <c r="E19" s="90">
        <f>C13</f>
        <v>0</v>
      </c>
      <c r="F19" s="89" t="s">
        <v>88</v>
      </c>
      <c r="G19" s="88">
        <v>0.13800000000000001</v>
      </c>
      <c r="H19" s="89" t="s">
        <v>89</v>
      </c>
      <c r="I19" s="573" t="s">
        <v>90</v>
      </c>
      <c r="J19" s="573"/>
    </row>
    <row r="20" spans="2:10" ht="14.25" customHeight="1">
      <c r="C20" s="572" t="s">
        <v>89</v>
      </c>
      <c r="D20" s="572"/>
      <c r="E20" s="572" t="s">
        <v>91</v>
      </c>
      <c r="F20" s="572"/>
      <c r="G20" s="572" t="s">
        <v>88</v>
      </c>
      <c r="H20" s="572"/>
      <c r="I20" s="91">
        <v>2000</v>
      </c>
      <c r="J20" s="92" t="s">
        <v>87</v>
      </c>
    </row>
    <row r="23" spans="2:10" ht="14.25" customHeight="1">
      <c r="B23" s="87" t="s">
        <v>86</v>
      </c>
      <c r="C23" s="93">
        <f>C19*E19*G19/I20</f>
        <v>0</v>
      </c>
      <c r="D23" s="94" t="s">
        <v>90</v>
      </c>
      <c r="E23" s="95" t="s">
        <v>86</v>
      </c>
      <c r="F23" s="96">
        <f>C23*2000/8760</f>
        <v>0</v>
      </c>
      <c r="G23" s="89" t="s">
        <v>87</v>
      </c>
    </row>
    <row r="24" spans="2:10" ht="14.25" customHeight="1">
      <c r="D24" s="97" t="s">
        <v>91</v>
      </c>
      <c r="G24" s="98" t="s">
        <v>92</v>
      </c>
    </row>
    <row r="26" spans="2:10" ht="14.25" customHeight="1">
      <c r="B26" t="s">
        <v>93</v>
      </c>
    </row>
    <row r="28" spans="2:10" ht="14.25" customHeight="1">
      <c r="B28" s="87" t="s">
        <v>86</v>
      </c>
      <c r="C28" s="99">
        <f>1.01*C14</f>
        <v>1.01E-2</v>
      </c>
      <c r="D28" s="89" t="s">
        <v>87</v>
      </c>
      <c r="E28" s="90">
        <f>E19</f>
        <v>0</v>
      </c>
      <c r="F28" s="89" t="s">
        <v>88</v>
      </c>
      <c r="G28" s="88">
        <v>0.13800000000000001</v>
      </c>
      <c r="H28" s="89" t="s">
        <v>89</v>
      </c>
      <c r="I28" s="573" t="s">
        <v>90</v>
      </c>
      <c r="J28" s="573"/>
    </row>
    <row r="29" spans="2:10" ht="14.25" customHeight="1">
      <c r="C29" s="572" t="s">
        <v>89</v>
      </c>
      <c r="D29" s="572"/>
      <c r="E29" s="572" t="s">
        <v>91</v>
      </c>
      <c r="F29" s="572"/>
      <c r="G29" s="572" t="s">
        <v>88</v>
      </c>
      <c r="H29" s="572"/>
      <c r="I29" s="91">
        <v>2000</v>
      </c>
      <c r="J29" s="92" t="s">
        <v>87</v>
      </c>
    </row>
    <row r="32" spans="2:10" ht="14.25" customHeight="1">
      <c r="B32" s="87" t="s">
        <v>86</v>
      </c>
      <c r="C32" s="93">
        <f>C28*E28*G28/I29</f>
        <v>0</v>
      </c>
      <c r="D32" s="94" t="s">
        <v>90</v>
      </c>
      <c r="E32" s="95" t="s">
        <v>86</v>
      </c>
      <c r="F32" s="96">
        <f>C32*2000/8760</f>
        <v>0</v>
      </c>
      <c r="G32" s="89" t="s">
        <v>87</v>
      </c>
    </row>
    <row r="33" spans="2:10" ht="14.25" customHeight="1">
      <c r="D33" s="97" t="s">
        <v>91</v>
      </c>
      <c r="G33" s="98" t="s">
        <v>92</v>
      </c>
    </row>
    <row r="35" spans="2:10" ht="14.25" customHeight="1">
      <c r="B35" t="s">
        <v>94</v>
      </c>
    </row>
    <row r="37" spans="2:10" ht="14.25" customHeight="1">
      <c r="B37" s="87" t="s">
        <v>86</v>
      </c>
      <c r="C37" s="88">
        <v>0.88</v>
      </c>
      <c r="D37" s="89" t="s">
        <v>87</v>
      </c>
      <c r="E37" s="90">
        <f>E19</f>
        <v>0</v>
      </c>
      <c r="F37" s="89" t="s">
        <v>88</v>
      </c>
      <c r="G37" s="88">
        <v>0.13800000000000001</v>
      </c>
      <c r="H37" s="89" t="s">
        <v>89</v>
      </c>
      <c r="I37" s="573" t="s">
        <v>90</v>
      </c>
      <c r="J37" s="573"/>
    </row>
    <row r="38" spans="2:10" ht="14.25" customHeight="1">
      <c r="C38" s="572" t="s">
        <v>89</v>
      </c>
      <c r="D38" s="572"/>
      <c r="E38" s="572" t="s">
        <v>91</v>
      </c>
      <c r="F38" s="572"/>
      <c r="G38" s="572" t="s">
        <v>88</v>
      </c>
      <c r="H38" s="572"/>
      <c r="I38" s="91">
        <v>2000</v>
      </c>
      <c r="J38" s="92" t="s">
        <v>87</v>
      </c>
    </row>
    <row r="41" spans="2:10" ht="14.25" customHeight="1">
      <c r="B41" s="87" t="s">
        <v>86</v>
      </c>
      <c r="C41" s="93">
        <f>C37*E37*G37/I38</f>
        <v>0</v>
      </c>
      <c r="D41" s="94" t="s">
        <v>90</v>
      </c>
      <c r="E41" s="95" t="s">
        <v>86</v>
      </c>
      <c r="F41" s="96">
        <f>C41*2000/8760</f>
        <v>0</v>
      </c>
      <c r="G41" s="89" t="s">
        <v>87</v>
      </c>
    </row>
    <row r="42" spans="2:10" ht="14.25" customHeight="1">
      <c r="D42" s="97" t="s">
        <v>91</v>
      </c>
      <c r="G42" s="98" t="s">
        <v>92</v>
      </c>
    </row>
    <row r="43" spans="2:10" ht="14.25" customHeight="1">
      <c r="D43" s="97"/>
      <c r="G43" s="98"/>
    </row>
    <row r="44" spans="2:10" ht="14.25" customHeight="1">
      <c r="B44" t="s">
        <v>95</v>
      </c>
    </row>
    <row r="46" spans="2:10" ht="14.25" customHeight="1">
      <c r="B46" s="87" t="s">
        <v>86</v>
      </c>
      <c r="C46" s="88">
        <v>4.0999999999999999E-4</v>
      </c>
      <c r="D46" s="89" t="s">
        <v>87</v>
      </c>
      <c r="E46" s="90">
        <f>E19</f>
        <v>0</v>
      </c>
      <c r="F46" s="89" t="s">
        <v>88</v>
      </c>
      <c r="G46" s="88">
        <v>0.13800000000000001</v>
      </c>
      <c r="H46" s="89" t="s">
        <v>89</v>
      </c>
      <c r="I46" s="573" t="s">
        <v>90</v>
      </c>
      <c r="J46" s="573"/>
    </row>
    <row r="47" spans="2:10" ht="14.25" customHeight="1">
      <c r="C47" s="572" t="s">
        <v>89</v>
      </c>
      <c r="D47" s="572"/>
      <c r="E47" s="572" t="s">
        <v>91</v>
      </c>
      <c r="F47" s="572"/>
      <c r="G47" s="572" t="s">
        <v>88</v>
      </c>
      <c r="H47" s="572"/>
      <c r="I47" s="91">
        <v>2000</v>
      </c>
      <c r="J47" s="92" t="s">
        <v>87</v>
      </c>
    </row>
    <row r="50" spans="2:10" ht="14.25" customHeight="1">
      <c r="B50" s="87" t="s">
        <v>86</v>
      </c>
      <c r="C50" s="100">
        <f>C46*E46*G46/I47</f>
        <v>0</v>
      </c>
      <c r="D50" s="94" t="s">
        <v>90</v>
      </c>
      <c r="E50" s="95" t="s">
        <v>86</v>
      </c>
      <c r="F50" s="101">
        <f>C50*2000/8760</f>
        <v>0</v>
      </c>
      <c r="G50" s="89" t="s">
        <v>87</v>
      </c>
    </row>
    <row r="51" spans="2:10" ht="14.25" customHeight="1">
      <c r="D51" s="97" t="s">
        <v>91</v>
      </c>
      <c r="G51" s="98" t="s">
        <v>92</v>
      </c>
    </row>
    <row r="52" spans="2:10" ht="14.25" customHeight="1">
      <c r="D52" s="97"/>
      <c r="G52" s="98"/>
    </row>
    <row r="53" spans="2:10" ht="14.25" customHeight="1">
      <c r="B53" t="s">
        <v>96</v>
      </c>
    </row>
    <row r="55" spans="2:10" ht="14.25" customHeight="1">
      <c r="B55" s="87" t="s">
        <v>86</v>
      </c>
      <c r="C55" s="88">
        <v>3.3E-3</v>
      </c>
      <c r="D55" s="89" t="s">
        <v>87</v>
      </c>
      <c r="E55" s="90">
        <f>E19</f>
        <v>0</v>
      </c>
      <c r="F55" s="89" t="s">
        <v>88</v>
      </c>
      <c r="G55" s="88">
        <v>0.13800000000000001</v>
      </c>
      <c r="H55" s="89" t="s">
        <v>89</v>
      </c>
      <c r="I55" s="573" t="s">
        <v>90</v>
      </c>
      <c r="J55" s="573"/>
    </row>
    <row r="56" spans="2:10" ht="14.25" customHeight="1">
      <c r="C56" s="572" t="s">
        <v>89</v>
      </c>
      <c r="D56" s="572"/>
      <c r="E56" s="572" t="s">
        <v>91</v>
      </c>
      <c r="F56" s="572"/>
      <c r="G56" s="572" t="s">
        <v>88</v>
      </c>
      <c r="H56" s="572"/>
      <c r="I56" s="91">
        <v>2000</v>
      </c>
      <c r="J56" s="92" t="s">
        <v>87</v>
      </c>
    </row>
    <row r="59" spans="2:10" ht="14.25" customHeight="1">
      <c r="B59" s="87" t="s">
        <v>86</v>
      </c>
      <c r="C59" s="93">
        <f>C55*E55*G55/I56</f>
        <v>0</v>
      </c>
      <c r="D59" s="94" t="s">
        <v>90</v>
      </c>
      <c r="E59" s="95" t="s">
        <v>86</v>
      </c>
      <c r="F59" s="96">
        <f>C59*2000/8760</f>
        <v>0</v>
      </c>
      <c r="G59" s="89" t="s">
        <v>87</v>
      </c>
    </row>
    <row r="60" spans="2:10" ht="14.25" customHeight="1">
      <c r="D60" s="97" t="s">
        <v>91</v>
      </c>
      <c r="G60" s="98" t="s">
        <v>92</v>
      </c>
    </row>
    <row r="62" spans="2:10" ht="14.25" customHeight="1">
      <c r="B62" t="s">
        <v>97</v>
      </c>
    </row>
    <row r="64" spans="2:10" ht="14.25" customHeight="1">
      <c r="B64" s="87" t="s">
        <v>86</v>
      </c>
      <c r="C64" s="88">
        <v>1.4E-5</v>
      </c>
      <c r="D64" s="89" t="s">
        <v>87</v>
      </c>
      <c r="E64" s="90">
        <f>E19</f>
        <v>0</v>
      </c>
      <c r="F64" s="89" t="s">
        <v>88</v>
      </c>
      <c r="G64" s="88">
        <v>0.13800000000000001</v>
      </c>
      <c r="H64" s="89" t="s">
        <v>89</v>
      </c>
      <c r="I64" s="573" t="s">
        <v>90</v>
      </c>
      <c r="J64" s="573"/>
    </row>
    <row r="65" spans="2:10" ht="14.25" customHeight="1">
      <c r="C65" s="572" t="s">
        <v>89</v>
      </c>
      <c r="D65" s="572"/>
      <c r="E65" s="572" t="s">
        <v>91</v>
      </c>
      <c r="F65" s="572"/>
      <c r="G65" s="572" t="s">
        <v>88</v>
      </c>
      <c r="H65" s="572"/>
      <c r="I65" s="91">
        <v>2000</v>
      </c>
      <c r="J65" s="92" t="s">
        <v>87</v>
      </c>
    </row>
    <row r="68" spans="2:10" ht="14.25" customHeight="1">
      <c r="B68" s="87" t="s">
        <v>86</v>
      </c>
      <c r="C68" s="102">
        <f>C64*E64*G64/I65</f>
        <v>0</v>
      </c>
      <c r="D68" s="94" t="s">
        <v>90</v>
      </c>
      <c r="E68" s="95" t="s">
        <v>86</v>
      </c>
      <c r="F68" s="103">
        <f>C68*2000/8760</f>
        <v>0</v>
      </c>
      <c r="G68" s="89" t="s">
        <v>87</v>
      </c>
    </row>
    <row r="69" spans="2:10" ht="14.25" customHeight="1">
      <c r="D69" s="97" t="s">
        <v>91</v>
      </c>
      <c r="G69" s="98" t="s">
        <v>92</v>
      </c>
    </row>
    <row r="71" spans="2:10" ht="14.25" customHeight="1">
      <c r="B71" t="s">
        <v>98</v>
      </c>
    </row>
    <row r="73" spans="2:10" ht="14.25" customHeight="1">
      <c r="B73" s="87" t="s">
        <v>86</v>
      </c>
      <c r="C73" s="104">
        <f>R12</f>
        <v>163.61174348</v>
      </c>
      <c r="D73" s="89" t="s">
        <v>87</v>
      </c>
      <c r="E73" s="90">
        <f>E19</f>
        <v>0</v>
      </c>
      <c r="F73" s="89" t="s">
        <v>88</v>
      </c>
      <c r="G73" s="88">
        <v>0.13800000000000001</v>
      </c>
      <c r="H73" s="89" t="s">
        <v>89</v>
      </c>
      <c r="I73" s="573" t="s">
        <v>90</v>
      </c>
      <c r="J73" s="573"/>
    </row>
    <row r="74" spans="2:10" ht="14.25" customHeight="1">
      <c r="C74" s="572" t="s">
        <v>89</v>
      </c>
      <c r="D74" s="572"/>
      <c r="E74" s="572" t="s">
        <v>91</v>
      </c>
      <c r="F74" s="572"/>
      <c r="G74" s="572" t="s">
        <v>88</v>
      </c>
      <c r="H74" s="572"/>
      <c r="I74" s="91">
        <v>2000</v>
      </c>
      <c r="J74" s="92" t="s">
        <v>87</v>
      </c>
    </row>
    <row r="77" spans="2:10" ht="14.25" customHeight="1">
      <c r="B77" s="87" t="s">
        <v>86</v>
      </c>
      <c r="C77" s="102">
        <f>C73*E73*G73/I74</f>
        <v>0</v>
      </c>
      <c r="D77" s="94" t="s">
        <v>90</v>
      </c>
      <c r="E77" s="95" t="s">
        <v>86</v>
      </c>
      <c r="F77" s="103">
        <f>C77*2000/8760</f>
        <v>0</v>
      </c>
      <c r="G77" s="89" t="s">
        <v>87</v>
      </c>
    </row>
    <row r="78" spans="2:10" ht="14.25" customHeight="1">
      <c r="D78" s="97" t="s">
        <v>91</v>
      </c>
      <c r="G78" s="98" t="s">
        <v>92</v>
      </c>
    </row>
  </sheetData>
  <mergeCells count="29">
    <mergeCell ref="B1:J1"/>
    <mergeCell ref="I19:J19"/>
    <mergeCell ref="C20:D20"/>
    <mergeCell ref="E20:F20"/>
    <mergeCell ref="G20:H20"/>
    <mergeCell ref="I28:J28"/>
    <mergeCell ref="C29:D29"/>
    <mergeCell ref="E29:F29"/>
    <mergeCell ref="G29:H29"/>
    <mergeCell ref="I37:J37"/>
    <mergeCell ref="C38:D38"/>
    <mergeCell ref="E38:F38"/>
    <mergeCell ref="G38:H38"/>
    <mergeCell ref="I46:J46"/>
    <mergeCell ref="C47:D47"/>
    <mergeCell ref="E47:F47"/>
    <mergeCell ref="G47:H47"/>
    <mergeCell ref="I55:J55"/>
    <mergeCell ref="C56:D56"/>
    <mergeCell ref="E56:F56"/>
    <mergeCell ref="G56:H56"/>
    <mergeCell ref="I64:J64"/>
    <mergeCell ref="C65:D65"/>
    <mergeCell ref="E65:F65"/>
    <mergeCell ref="G65:H65"/>
    <mergeCell ref="I73:J73"/>
    <mergeCell ref="C74:D74"/>
    <mergeCell ref="E74:F74"/>
    <mergeCell ref="G74:H74"/>
  </mergeCells>
  <pageMargins left="0.7" right="0.7" top="0.75" bottom="0.75" header="0.511811023622047" footer="0.511811023622047"/>
  <pageSetup paperSize="9" orientation="portrait"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G76"/>
  <sheetViews>
    <sheetView zoomScaleNormal="100" workbookViewId="0"/>
  </sheetViews>
  <sheetFormatPr defaultColWidth="8.7109375" defaultRowHeight="15"/>
  <cols>
    <col min="1" max="1" width="14.5703125" customWidth="1"/>
    <col min="2" max="2" width="14.28515625" customWidth="1"/>
    <col min="4" max="4" width="14.42578125" customWidth="1"/>
  </cols>
  <sheetData>
    <row r="1" spans="1:7" ht="14.25" customHeight="1">
      <c r="A1" s="574" t="s">
        <v>99</v>
      </c>
      <c r="B1" s="574"/>
      <c r="C1" s="574"/>
      <c r="D1" s="574"/>
      <c r="E1" s="574"/>
      <c r="F1" s="574"/>
      <c r="G1" s="574"/>
    </row>
    <row r="3" spans="1:7" ht="14.25" customHeight="1">
      <c r="A3" s="85" t="s">
        <v>100</v>
      </c>
      <c r="B3" s="85"/>
      <c r="C3" s="85"/>
      <c r="D3" s="85"/>
      <c r="E3" s="85"/>
      <c r="F3" s="85"/>
      <c r="G3" s="85"/>
    </row>
    <row r="5" spans="1:7" ht="14.25" customHeight="1">
      <c r="A5" s="85" t="s">
        <v>11</v>
      </c>
      <c r="B5" s="85" t="s">
        <v>101</v>
      </c>
      <c r="C5" s="85"/>
      <c r="D5" s="85"/>
      <c r="E5" s="85"/>
      <c r="F5" s="85"/>
      <c r="G5" s="85"/>
    </row>
    <row r="6" spans="1:7" ht="14.25" customHeight="1">
      <c r="A6" s="85" t="s">
        <v>35</v>
      </c>
      <c r="B6" s="85" t="s">
        <v>102</v>
      </c>
      <c r="C6" s="85"/>
      <c r="D6" s="85"/>
      <c r="E6" s="85"/>
      <c r="F6" s="85"/>
      <c r="G6" s="85"/>
    </row>
    <row r="7" spans="1:7" ht="14.25" customHeight="1">
      <c r="A7" s="85" t="s">
        <v>14</v>
      </c>
      <c r="B7" s="85" t="s">
        <v>103</v>
      </c>
      <c r="C7" s="85"/>
      <c r="D7" s="85"/>
      <c r="E7" s="85"/>
      <c r="F7" s="85"/>
      <c r="G7" s="85"/>
    </row>
    <row r="8" spans="1:7" ht="14.25" customHeight="1">
      <c r="A8" s="85" t="s">
        <v>16</v>
      </c>
      <c r="B8" s="85" t="s">
        <v>104</v>
      </c>
      <c r="C8" s="85"/>
      <c r="D8" s="85"/>
      <c r="E8" s="85"/>
      <c r="F8" s="85"/>
      <c r="G8" s="85"/>
    </row>
    <row r="9" spans="1:7" ht="14.25" customHeight="1">
      <c r="A9" s="85" t="s">
        <v>15</v>
      </c>
      <c r="B9" s="85" t="s">
        <v>105</v>
      </c>
      <c r="C9" s="85"/>
      <c r="D9" s="85"/>
      <c r="E9" s="85"/>
      <c r="F9" s="85"/>
      <c r="G9" s="85"/>
    </row>
    <row r="10" spans="1:7" ht="14.25" customHeight="1">
      <c r="A10" s="105" t="s">
        <v>17</v>
      </c>
      <c r="B10" s="85" t="s">
        <v>106</v>
      </c>
      <c r="C10" s="85"/>
      <c r="D10" s="85"/>
      <c r="E10" s="85"/>
      <c r="F10" s="85"/>
      <c r="G10" s="85"/>
    </row>
    <row r="11" spans="1:7" ht="14.25" customHeight="1">
      <c r="A11" s="85"/>
      <c r="B11" s="85"/>
      <c r="C11" s="85"/>
      <c r="D11" s="85"/>
      <c r="E11" s="577"/>
      <c r="F11" s="577"/>
      <c r="G11" s="85"/>
    </row>
    <row r="12" spans="1:7" ht="14.25" customHeight="1">
      <c r="A12" s="85" t="s">
        <v>107</v>
      </c>
      <c r="B12" s="106">
        <f>'Costa Sur'!B17+'Costa Sur'!C17</f>
        <v>0</v>
      </c>
      <c r="C12" s="85" t="s">
        <v>108</v>
      </c>
      <c r="D12" s="85"/>
      <c r="E12" s="106"/>
      <c r="F12" s="107"/>
      <c r="G12" s="85"/>
    </row>
    <row r="13" spans="1:7" ht="14.25" customHeight="1">
      <c r="A13" s="85" t="s">
        <v>84</v>
      </c>
      <c r="B13" s="106">
        <f>('Costa Sur'!F17+'Costa Sur'!G17)/2</f>
        <v>0</v>
      </c>
      <c r="C13" s="85"/>
      <c r="D13" s="85"/>
      <c r="E13" s="106"/>
      <c r="F13" s="107"/>
      <c r="G13" s="85"/>
    </row>
    <row r="16" spans="1:7" ht="14.25" customHeight="1">
      <c r="A16" s="85" t="s">
        <v>85</v>
      </c>
      <c r="B16" s="85"/>
      <c r="C16" s="85"/>
      <c r="D16" s="85"/>
      <c r="E16" s="85"/>
      <c r="F16" s="85"/>
      <c r="G16" s="85"/>
    </row>
    <row r="18" spans="1:7" ht="14.25" customHeight="1">
      <c r="A18" s="108" t="s">
        <v>86</v>
      </c>
      <c r="B18" s="109">
        <f>(9.19*B13)+3.22</f>
        <v>3.22</v>
      </c>
      <c r="C18" s="110" t="s">
        <v>87</v>
      </c>
      <c r="D18" s="111">
        <f>B12</f>
        <v>0</v>
      </c>
      <c r="E18" s="110" t="s">
        <v>88</v>
      </c>
      <c r="F18" s="575" t="s">
        <v>90</v>
      </c>
      <c r="G18" s="575"/>
    </row>
    <row r="19" spans="1:7" ht="14.25" customHeight="1">
      <c r="A19" s="85"/>
      <c r="B19" s="113">
        <v>1000</v>
      </c>
      <c r="C19" s="107" t="s">
        <v>88</v>
      </c>
      <c r="D19" s="576" t="s">
        <v>91</v>
      </c>
      <c r="E19" s="576"/>
      <c r="F19" s="113">
        <v>2000</v>
      </c>
      <c r="G19" s="107" t="s">
        <v>87</v>
      </c>
    </row>
    <row r="22" spans="1:7" ht="14.25" customHeight="1">
      <c r="A22" s="108" t="s">
        <v>86</v>
      </c>
      <c r="B22" s="114">
        <f>((B18/B19)*D18)/F19</f>
        <v>0</v>
      </c>
      <c r="C22" s="115" t="s">
        <v>90</v>
      </c>
      <c r="D22" s="116" t="s">
        <v>86</v>
      </c>
      <c r="E22" s="117">
        <f>B22*(2000/8760)</f>
        <v>0</v>
      </c>
      <c r="F22" s="110" t="s">
        <v>87</v>
      </c>
      <c r="G22" s="85"/>
    </row>
    <row r="23" spans="1:7" ht="14.25" customHeight="1">
      <c r="A23" s="85"/>
      <c r="B23" s="85"/>
      <c r="C23" s="118" t="s">
        <v>91</v>
      </c>
      <c r="D23" s="85"/>
      <c r="E23" s="85"/>
      <c r="F23" s="107" t="s">
        <v>92</v>
      </c>
      <c r="G23" s="85"/>
    </row>
    <row r="25" spans="1:7" ht="14.25" customHeight="1">
      <c r="A25" s="85" t="s">
        <v>93</v>
      </c>
      <c r="B25" s="85"/>
      <c r="C25" s="85"/>
      <c r="D25" s="85"/>
      <c r="E25" s="85"/>
      <c r="F25" s="85"/>
      <c r="G25" s="85"/>
    </row>
    <row r="27" spans="1:7" ht="14.25" customHeight="1">
      <c r="A27" s="108" t="s">
        <v>86</v>
      </c>
      <c r="B27" s="119">
        <f>(157+5.7)*B13</f>
        <v>0</v>
      </c>
      <c r="C27" s="110" t="s">
        <v>87</v>
      </c>
      <c r="D27" s="111">
        <f>B12</f>
        <v>0</v>
      </c>
      <c r="E27" s="110" t="s">
        <v>88</v>
      </c>
      <c r="F27" s="575" t="s">
        <v>90</v>
      </c>
      <c r="G27" s="575"/>
    </row>
    <row r="28" spans="1:7" ht="14.25" customHeight="1">
      <c r="A28" s="85"/>
      <c r="B28" s="113">
        <v>1000</v>
      </c>
      <c r="C28" s="107" t="s">
        <v>88</v>
      </c>
      <c r="D28" s="576" t="s">
        <v>91</v>
      </c>
      <c r="E28" s="576"/>
      <c r="F28" s="113">
        <v>2000</v>
      </c>
      <c r="G28" s="107" t="s">
        <v>87</v>
      </c>
    </row>
    <row r="31" spans="1:7" ht="14.25" customHeight="1">
      <c r="A31" s="108" t="s">
        <v>86</v>
      </c>
      <c r="B31" s="114">
        <f>((B27/B28)*D27)/F28</f>
        <v>0</v>
      </c>
      <c r="C31" s="115" t="s">
        <v>90</v>
      </c>
      <c r="D31" s="116" t="s">
        <v>86</v>
      </c>
      <c r="E31" s="120">
        <f>B31*(2000/8760)</f>
        <v>0</v>
      </c>
      <c r="F31" s="110" t="s">
        <v>87</v>
      </c>
      <c r="G31" s="85"/>
    </row>
    <row r="32" spans="1:7" ht="14.25" customHeight="1">
      <c r="A32" s="85"/>
      <c r="B32" s="85"/>
      <c r="C32" s="118" t="s">
        <v>91</v>
      </c>
      <c r="D32" s="85"/>
      <c r="E32" s="85"/>
      <c r="F32" s="107" t="s">
        <v>92</v>
      </c>
      <c r="G32" s="85"/>
    </row>
    <row r="34" spans="1:7" ht="14.25" customHeight="1">
      <c r="A34" s="85" t="s">
        <v>94</v>
      </c>
      <c r="B34" s="85"/>
      <c r="C34" s="85"/>
      <c r="D34" s="85"/>
      <c r="E34" s="85"/>
      <c r="F34" s="85"/>
      <c r="G34" s="85"/>
    </row>
    <row r="36" spans="1:7" ht="14.25" customHeight="1">
      <c r="A36" s="108" t="s">
        <v>86</v>
      </c>
      <c r="B36" s="121">
        <v>32</v>
      </c>
      <c r="C36" s="110" t="s">
        <v>87</v>
      </c>
      <c r="D36" s="111">
        <f>B12</f>
        <v>0</v>
      </c>
      <c r="E36" s="110" t="s">
        <v>88</v>
      </c>
      <c r="F36" s="575" t="s">
        <v>90</v>
      </c>
      <c r="G36" s="575"/>
    </row>
    <row r="37" spans="1:7" ht="14.25" customHeight="1">
      <c r="A37" s="85"/>
      <c r="B37" s="113">
        <v>1000</v>
      </c>
      <c r="C37" s="107" t="s">
        <v>88</v>
      </c>
      <c r="D37" s="576" t="s">
        <v>91</v>
      </c>
      <c r="E37" s="576"/>
      <c r="F37" s="113">
        <v>2000</v>
      </c>
      <c r="G37" s="107" t="s">
        <v>87</v>
      </c>
    </row>
    <row r="40" spans="1:7" ht="14.25" customHeight="1">
      <c r="A40" s="108" t="s">
        <v>86</v>
      </c>
      <c r="B40" s="114">
        <f>((B36/B37)*D36)/F37</f>
        <v>0</v>
      </c>
      <c r="C40" s="115" t="s">
        <v>90</v>
      </c>
      <c r="D40" s="116" t="s">
        <v>86</v>
      </c>
      <c r="E40" s="120">
        <f>B40*(2000/8760)</f>
        <v>0</v>
      </c>
      <c r="F40" s="110" t="s">
        <v>87</v>
      </c>
      <c r="G40" s="85"/>
    </row>
    <row r="41" spans="1:7" ht="14.25" customHeight="1">
      <c r="A41" s="85"/>
      <c r="B41" s="85"/>
      <c r="C41" s="118" t="s">
        <v>91</v>
      </c>
      <c r="D41" s="85"/>
      <c r="E41" s="85"/>
      <c r="F41" s="107" t="s">
        <v>92</v>
      </c>
      <c r="G41" s="85"/>
    </row>
    <row r="42" spans="1:7" ht="14.25" customHeight="1">
      <c r="A42" s="85"/>
      <c r="B42" s="85"/>
      <c r="C42" s="118"/>
      <c r="D42" s="85"/>
      <c r="E42" s="85"/>
      <c r="F42" s="107"/>
      <c r="G42" s="85"/>
    </row>
    <row r="43" spans="1:7" ht="14.25" customHeight="1">
      <c r="A43" s="85"/>
      <c r="B43" s="85"/>
      <c r="C43" s="118"/>
      <c r="D43" s="85"/>
      <c r="E43" s="85"/>
      <c r="F43" s="107"/>
      <c r="G43" s="85"/>
    </row>
    <row r="44" spans="1:7" ht="14.25" customHeight="1">
      <c r="A44" s="85"/>
      <c r="B44" s="85"/>
      <c r="C44" s="118"/>
      <c r="D44" s="85"/>
      <c r="E44" s="85"/>
      <c r="F44" s="107"/>
      <c r="G44" s="85"/>
    </row>
    <row r="45" spans="1:7" ht="14.25" customHeight="1">
      <c r="A45" s="85"/>
      <c r="B45" s="85"/>
      <c r="C45" s="118"/>
      <c r="D45" s="85"/>
      <c r="E45" s="85"/>
      <c r="F45" s="107"/>
      <c r="G45" s="85"/>
    </row>
    <row r="46" spans="1:7" ht="14.25" customHeight="1">
      <c r="A46" s="85"/>
      <c r="B46" s="85"/>
      <c r="C46" s="118"/>
      <c r="D46" s="85"/>
      <c r="E46" s="85"/>
      <c r="F46" s="107"/>
      <c r="G46" s="85"/>
    </row>
    <row r="47" spans="1:7" ht="14.25" customHeight="1">
      <c r="A47" s="85"/>
      <c r="B47" s="85"/>
      <c r="C47" s="118"/>
      <c r="D47" s="85"/>
      <c r="E47" s="85"/>
      <c r="F47" s="107"/>
      <c r="G47" s="85"/>
    </row>
    <row r="48" spans="1:7" ht="14.25" customHeight="1">
      <c r="A48" s="85"/>
      <c r="B48" s="85"/>
      <c r="C48" s="118"/>
      <c r="D48" s="85"/>
      <c r="E48" s="85"/>
      <c r="F48" s="107"/>
      <c r="G48" s="85"/>
    </row>
    <row r="49" spans="1:7" ht="14.25" customHeight="1">
      <c r="A49" s="85" t="s">
        <v>95</v>
      </c>
      <c r="B49" s="85"/>
      <c r="C49" s="85"/>
      <c r="D49" s="85"/>
      <c r="E49" s="85"/>
      <c r="F49" s="85"/>
      <c r="G49" s="85"/>
    </row>
    <row r="51" spans="1:7" ht="14.25" customHeight="1">
      <c r="A51" s="108" t="s">
        <v>86</v>
      </c>
      <c r="B51" s="112">
        <v>0.76</v>
      </c>
      <c r="C51" s="110" t="s">
        <v>87</v>
      </c>
      <c r="D51" s="111">
        <f>B12</f>
        <v>0</v>
      </c>
      <c r="E51" s="110" t="s">
        <v>88</v>
      </c>
      <c r="F51" s="575" t="s">
        <v>90</v>
      </c>
      <c r="G51" s="575"/>
    </row>
    <row r="52" spans="1:7" ht="14.25" customHeight="1">
      <c r="A52" s="85"/>
      <c r="B52" s="113">
        <v>1000</v>
      </c>
      <c r="C52" s="107" t="s">
        <v>88</v>
      </c>
      <c r="D52" s="576" t="s">
        <v>91</v>
      </c>
      <c r="E52" s="576"/>
      <c r="F52" s="113">
        <v>2000</v>
      </c>
      <c r="G52" s="107" t="s">
        <v>87</v>
      </c>
    </row>
    <row r="53" spans="1:7" ht="14.25" customHeight="1">
      <c r="A53" s="85"/>
      <c r="B53" s="85"/>
      <c r="C53" s="85"/>
      <c r="D53" s="85"/>
      <c r="E53" s="85"/>
      <c r="F53" s="85"/>
      <c r="G53" s="85"/>
    </row>
    <row r="55" spans="1:7" ht="14.25" customHeight="1">
      <c r="A55" s="108" t="s">
        <v>86</v>
      </c>
      <c r="B55" s="114">
        <f>((B51/B52)*D51)/F52</f>
        <v>0</v>
      </c>
      <c r="C55" s="115" t="s">
        <v>90</v>
      </c>
      <c r="D55" s="116" t="s">
        <v>86</v>
      </c>
      <c r="E55" s="120">
        <f>B55*(2000/8760)</f>
        <v>0</v>
      </c>
      <c r="F55" s="110" t="s">
        <v>87</v>
      </c>
      <c r="G55" s="85"/>
    </row>
    <row r="56" spans="1:7" ht="14.25" customHeight="1">
      <c r="A56" s="108"/>
      <c r="B56" s="114"/>
      <c r="C56" s="118"/>
      <c r="D56" s="116"/>
      <c r="E56" s="120"/>
      <c r="F56" s="107"/>
      <c r="G56" s="85"/>
    </row>
    <row r="57" spans="1:7" ht="14.25" customHeight="1">
      <c r="A57" s="85"/>
      <c r="B57" s="85"/>
      <c r="C57" s="118" t="s">
        <v>91</v>
      </c>
      <c r="D57" s="85"/>
      <c r="E57" s="85"/>
      <c r="F57" s="107" t="s">
        <v>92</v>
      </c>
      <c r="G57" s="85"/>
    </row>
    <row r="58" spans="1:7" ht="14.25" customHeight="1">
      <c r="A58" s="85"/>
      <c r="B58" s="85"/>
      <c r="C58" s="118"/>
      <c r="D58" s="85"/>
      <c r="E58" s="85"/>
      <c r="F58" s="107"/>
      <c r="G58" s="85"/>
    </row>
    <row r="59" spans="1:7" ht="14.25" customHeight="1">
      <c r="A59" s="122"/>
      <c r="B59" s="122"/>
      <c r="C59" s="122"/>
      <c r="D59" s="122"/>
      <c r="E59" s="122"/>
      <c r="F59" s="122"/>
      <c r="G59" s="122"/>
    </row>
    <row r="60" spans="1:7" ht="14.25" customHeight="1">
      <c r="A60" s="85" t="s">
        <v>96</v>
      </c>
      <c r="B60" s="85"/>
      <c r="C60" s="85"/>
      <c r="D60" s="85"/>
      <c r="E60" s="85"/>
      <c r="F60" s="85"/>
      <c r="G60" s="85"/>
    </row>
    <row r="62" spans="1:7" ht="14.25" customHeight="1">
      <c r="A62" s="108" t="s">
        <v>86</v>
      </c>
      <c r="B62" s="112">
        <v>5</v>
      </c>
      <c r="C62" s="110" t="s">
        <v>87</v>
      </c>
      <c r="D62" s="111">
        <f>B12</f>
        <v>0</v>
      </c>
      <c r="E62" s="110" t="s">
        <v>88</v>
      </c>
      <c r="F62" s="575" t="s">
        <v>90</v>
      </c>
      <c r="G62" s="575"/>
    </row>
    <row r="63" spans="1:7" ht="14.25" customHeight="1">
      <c r="A63" s="85"/>
      <c r="B63" s="113">
        <v>1000</v>
      </c>
      <c r="C63" s="107" t="s">
        <v>88</v>
      </c>
      <c r="D63" s="576" t="s">
        <v>91</v>
      </c>
      <c r="E63" s="576"/>
      <c r="F63" s="113">
        <v>2000</v>
      </c>
      <c r="G63" s="107" t="s">
        <v>87</v>
      </c>
    </row>
    <row r="64" spans="1:7" ht="14.25" customHeight="1">
      <c r="A64" s="85"/>
      <c r="B64" s="85"/>
      <c r="C64" s="85"/>
      <c r="D64" s="85"/>
      <c r="E64" s="85"/>
      <c r="F64" s="85"/>
      <c r="G64" s="85"/>
    </row>
    <row r="66" spans="1:7" ht="14.25" customHeight="1">
      <c r="A66" s="108" t="s">
        <v>86</v>
      </c>
      <c r="B66" s="114">
        <f>((B62/B63)*D62)/F63</f>
        <v>0</v>
      </c>
      <c r="C66" s="115" t="s">
        <v>90</v>
      </c>
      <c r="D66" s="116" t="s">
        <v>86</v>
      </c>
      <c r="E66" s="120">
        <f>B66*(2000/8760)</f>
        <v>0</v>
      </c>
      <c r="F66" s="110" t="s">
        <v>87</v>
      </c>
      <c r="G66" s="85"/>
    </row>
    <row r="67" spans="1:7" ht="14.25" customHeight="1">
      <c r="A67" s="85"/>
      <c r="B67" s="85"/>
      <c r="C67" s="118" t="s">
        <v>91</v>
      </c>
      <c r="D67" s="85"/>
      <c r="E67" s="85"/>
      <c r="F67" s="107" t="s">
        <v>92</v>
      </c>
      <c r="G67" s="85"/>
    </row>
    <row r="69" spans="1:7" ht="14.25" customHeight="1">
      <c r="A69" s="85" t="s">
        <v>97</v>
      </c>
      <c r="B69" s="85"/>
      <c r="C69" s="85"/>
      <c r="D69" s="85"/>
      <c r="E69" s="85"/>
      <c r="F69" s="85"/>
      <c r="G69" s="85"/>
    </row>
    <row r="71" spans="1:7" ht="14.25" customHeight="1">
      <c r="A71" s="108" t="s">
        <v>86</v>
      </c>
      <c r="B71" s="112">
        <v>1.5100000000000001E-3</v>
      </c>
      <c r="C71" s="110" t="s">
        <v>87</v>
      </c>
      <c r="D71" s="111">
        <f>B12</f>
        <v>0</v>
      </c>
      <c r="E71" s="110" t="s">
        <v>88</v>
      </c>
      <c r="F71" s="575" t="s">
        <v>90</v>
      </c>
      <c r="G71" s="575"/>
    </row>
    <row r="72" spans="1:7" ht="14.25" customHeight="1">
      <c r="A72" s="85"/>
      <c r="B72" s="113">
        <v>1000</v>
      </c>
      <c r="C72" s="107" t="s">
        <v>88</v>
      </c>
      <c r="D72" s="576" t="s">
        <v>91</v>
      </c>
      <c r="E72" s="576"/>
      <c r="F72" s="113">
        <v>2000</v>
      </c>
      <c r="G72" s="107" t="s">
        <v>87</v>
      </c>
    </row>
    <row r="73" spans="1:7" ht="14.25" customHeight="1">
      <c r="A73" s="85"/>
      <c r="B73" s="85"/>
      <c r="C73" s="85"/>
      <c r="D73" s="85"/>
      <c r="E73" s="85"/>
      <c r="F73" s="85"/>
      <c r="G73" s="85"/>
    </row>
    <row r="75" spans="1:7" ht="14.25" customHeight="1">
      <c r="A75" s="108" t="s">
        <v>86</v>
      </c>
      <c r="B75" s="123">
        <f>((B71/B72)*D71)/F72</f>
        <v>0</v>
      </c>
      <c r="C75" s="115" t="s">
        <v>90</v>
      </c>
      <c r="D75" s="116" t="s">
        <v>86</v>
      </c>
      <c r="E75" s="124">
        <f>B75*(2000/8760)</f>
        <v>0</v>
      </c>
      <c r="F75" s="110" t="s">
        <v>87</v>
      </c>
      <c r="G75" s="85"/>
    </row>
    <row r="76" spans="1:7" ht="14.25" customHeight="1">
      <c r="A76" s="85"/>
      <c r="B76" s="85"/>
      <c r="C76" s="118" t="s">
        <v>91</v>
      </c>
      <c r="D76" s="85"/>
      <c r="E76" s="85"/>
      <c r="F76" s="107" t="s">
        <v>92</v>
      </c>
      <c r="G76" s="85"/>
    </row>
  </sheetData>
  <mergeCells count="14">
    <mergeCell ref="A1:G1"/>
    <mergeCell ref="E11:F11"/>
    <mergeCell ref="F18:G18"/>
    <mergeCell ref="D19:E19"/>
    <mergeCell ref="F27:G27"/>
    <mergeCell ref="F62:G62"/>
    <mergeCell ref="D63:E63"/>
    <mergeCell ref="F71:G71"/>
    <mergeCell ref="D72:E72"/>
    <mergeCell ref="D28:E28"/>
    <mergeCell ref="F36:G36"/>
    <mergeCell ref="D37:E37"/>
    <mergeCell ref="F51:G51"/>
    <mergeCell ref="D52:E52"/>
  </mergeCells>
  <pageMargins left="0.7" right="0.7" top="0.75" bottom="0.75" header="0.511811023622047" footer="0.511811023622047"/>
  <pageSetup paperSize="9" orientation="portrait" horizontalDpi="300" verticalDpi="30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X83"/>
  <sheetViews>
    <sheetView topLeftCell="A10" zoomScaleNormal="100" workbookViewId="0">
      <selection activeCell="C18" sqref="C18"/>
    </sheetView>
  </sheetViews>
  <sheetFormatPr defaultColWidth="8.7109375" defaultRowHeight="12.75" customHeight="1"/>
  <cols>
    <col min="1" max="1" width="14.140625" bestFit="1" customWidth="1"/>
    <col min="2" max="2" width="94.7109375" customWidth="1"/>
    <col min="3" max="3" width="20" bestFit="1" customWidth="1"/>
    <col min="4" max="4" width="17.42578125" bestFit="1" customWidth="1"/>
    <col min="5" max="5" width="14.28515625" bestFit="1" customWidth="1"/>
    <col min="6" max="6" width="13.42578125" bestFit="1" customWidth="1"/>
    <col min="7" max="7" width="74.7109375" bestFit="1" customWidth="1"/>
    <col min="8" max="8" width="8.7109375" bestFit="1" customWidth="1"/>
    <col min="9" max="9" width="8.140625" bestFit="1" customWidth="1"/>
    <col min="10" max="10" width="5.85546875" bestFit="1" customWidth="1"/>
    <col min="11" max="11" width="3.7109375" bestFit="1" customWidth="1"/>
    <col min="12" max="12" width="4.7109375" bestFit="1" customWidth="1"/>
    <col min="13" max="13" width="13" bestFit="1" customWidth="1"/>
    <col min="14" max="14" width="8.42578125" bestFit="1" customWidth="1"/>
    <col min="15" max="15" width="9.42578125" bestFit="1" customWidth="1"/>
    <col min="16" max="16" width="8.5703125" bestFit="1" customWidth="1"/>
    <col min="17" max="17" width="1.85546875" bestFit="1" customWidth="1"/>
    <col min="18" max="19" width="8.140625" bestFit="1" customWidth="1"/>
    <col min="20" max="20" width="5.85546875" bestFit="1" customWidth="1"/>
    <col min="21" max="21" width="3.7109375" bestFit="1" customWidth="1"/>
    <col min="22" max="22" width="6" bestFit="1" customWidth="1"/>
    <col min="23" max="23" width="12.140625" bestFit="1" customWidth="1"/>
    <col min="24" max="24" width="6.5703125" bestFit="1" customWidth="1"/>
  </cols>
  <sheetData>
    <row r="1" spans="1:24" ht="14.25" customHeight="1">
      <c r="A1" s="578" t="s">
        <v>109</v>
      </c>
      <c r="B1" s="578"/>
      <c r="C1" s="578"/>
      <c r="D1" s="578"/>
      <c r="E1" s="578"/>
      <c r="F1" s="578"/>
      <c r="G1" s="578"/>
      <c r="H1" s="578"/>
      <c r="I1" s="578"/>
      <c r="J1" s="578"/>
      <c r="K1" s="578"/>
      <c r="L1" s="578"/>
      <c r="M1" s="578"/>
      <c r="N1" s="578"/>
      <c r="O1" s="578"/>
      <c r="P1" s="578"/>
    </row>
    <row r="2" spans="1:24" ht="14.25" customHeight="1">
      <c r="A2" s="125"/>
      <c r="B2" s="125"/>
      <c r="C2" s="125"/>
      <c r="D2" s="125"/>
      <c r="E2" s="125"/>
      <c r="F2" s="125"/>
      <c r="G2" s="125"/>
      <c r="H2" s="125"/>
      <c r="I2" s="125"/>
      <c r="J2" s="125"/>
      <c r="K2" s="125"/>
      <c r="L2" s="125"/>
      <c r="M2" s="125"/>
      <c r="N2" s="125"/>
      <c r="O2" s="125"/>
      <c r="P2" s="125"/>
    </row>
    <row r="3" spans="1:24" ht="30" customHeight="1">
      <c r="A3" s="126" t="s">
        <v>110</v>
      </c>
      <c r="B3" s="127" t="s">
        <v>111</v>
      </c>
      <c r="C3" s="127" t="s">
        <v>112</v>
      </c>
      <c r="D3" s="128" t="s">
        <v>113</v>
      </c>
      <c r="E3" s="128" t="s">
        <v>114</v>
      </c>
      <c r="M3" s="125"/>
      <c r="N3" s="125"/>
      <c r="O3" s="125"/>
      <c r="P3" s="125"/>
    </row>
    <row r="4" spans="1:24" ht="14.25" customHeight="1">
      <c r="A4" s="129" t="s">
        <v>14</v>
      </c>
      <c r="B4" s="130">
        <v>0.35</v>
      </c>
      <c r="C4" s="130">
        <v>0.35</v>
      </c>
      <c r="D4" s="111">
        <f>B23</f>
        <v>419.62630909500001</v>
      </c>
      <c r="E4" s="131">
        <f>F23</f>
        <v>95.805093400684925</v>
      </c>
      <c r="J4" s="132"/>
      <c r="K4" s="133"/>
      <c r="L4" s="133"/>
      <c r="M4" s="125"/>
      <c r="N4" s="125"/>
      <c r="O4" s="125"/>
      <c r="P4" s="125"/>
    </row>
    <row r="5" spans="1:24" ht="14.25" customHeight="1">
      <c r="A5" s="134" t="s">
        <v>15</v>
      </c>
      <c r="B5" s="135">
        <v>8.9999999999999993E-3</v>
      </c>
      <c r="C5" s="136">
        <v>3.8E-3</v>
      </c>
      <c r="D5" s="137">
        <f>B29</f>
        <v>10.599090914699998</v>
      </c>
      <c r="E5" s="138">
        <f>F29</f>
        <v>2.4198837704794514</v>
      </c>
      <c r="F5" s="125"/>
      <c r="G5" s="125"/>
      <c r="H5" s="125"/>
      <c r="I5" s="125"/>
      <c r="J5" s="125"/>
      <c r="K5" s="125"/>
      <c r="L5" s="125"/>
      <c r="M5" s="125"/>
      <c r="N5" s="125"/>
      <c r="O5" s="125"/>
      <c r="P5" s="125"/>
    </row>
    <row r="6" spans="1:24" ht="14.25" customHeight="1">
      <c r="A6" s="134" t="s">
        <v>16</v>
      </c>
      <c r="B6" s="135">
        <v>8.0000000000000004E-4</v>
      </c>
      <c r="C6" s="135">
        <v>1.2999999999999999E-3</v>
      </c>
      <c r="D6" s="137">
        <f>B35</f>
        <v>0.97754006960999995</v>
      </c>
      <c r="E6" s="138">
        <f>F35</f>
        <v>0.22318266429452052</v>
      </c>
      <c r="F6" s="579" t="s">
        <v>115</v>
      </c>
      <c r="G6" s="579"/>
      <c r="H6" s="579"/>
      <c r="I6" s="579"/>
      <c r="J6" s="579"/>
      <c r="K6" s="579"/>
      <c r="L6" s="579"/>
      <c r="M6" s="579"/>
      <c r="N6" s="579"/>
      <c r="O6" s="139"/>
      <c r="P6" s="139"/>
    </row>
    <row r="7" spans="1:24" ht="14.25" customHeight="1">
      <c r="A7" s="134" t="s">
        <v>11</v>
      </c>
      <c r="B7" s="135">
        <v>5.0000000000000001E-3</v>
      </c>
      <c r="C7" s="136">
        <v>2.75E-2</v>
      </c>
      <c r="D7" s="137">
        <f>B41</f>
        <v>6.8224014697499999</v>
      </c>
      <c r="E7" s="138">
        <f>F41</f>
        <v>1.5576259063356164</v>
      </c>
      <c r="F7" s="140" t="s">
        <v>116</v>
      </c>
      <c r="G7" s="141" t="s">
        <v>117</v>
      </c>
      <c r="I7" s="141"/>
      <c r="J7" s="141"/>
      <c r="K7" s="141"/>
      <c r="L7" s="141"/>
      <c r="M7" s="141"/>
      <c r="N7" s="141"/>
      <c r="O7" s="141"/>
      <c r="P7" s="141"/>
    </row>
    <row r="8" spans="1:24" ht="14.25" customHeight="1">
      <c r="A8" s="134" t="s">
        <v>12</v>
      </c>
      <c r="B8" s="135">
        <v>8.0999999999999996E-3</v>
      </c>
      <c r="C8" s="136">
        <v>0.04</v>
      </c>
      <c r="D8" s="137">
        <f>B47</f>
        <v>10.884902976719999</v>
      </c>
      <c r="E8" s="142">
        <f>F47</f>
        <v>2.4851376659178079</v>
      </c>
      <c r="F8" s="143"/>
      <c r="G8" s="141" t="s">
        <v>118</v>
      </c>
      <c r="H8" s="141"/>
      <c r="I8" s="141"/>
      <c r="J8" s="141"/>
      <c r="K8" s="141"/>
      <c r="L8" s="141"/>
      <c r="M8" s="141"/>
      <c r="N8" s="141"/>
      <c r="O8" s="141"/>
    </row>
    <row r="9" spans="1:24" ht="14.25" customHeight="1">
      <c r="A9" s="134" t="s">
        <v>34</v>
      </c>
      <c r="B9" s="135">
        <v>7.4999999999999997E-3</v>
      </c>
      <c r="C9" s="136">
        <v>3.3000000000000002E-2</v>
      </c>
      <c r="D9" s="137">
        <f>B53</f>
        <v>9.9300975704999992</v>
      </c>
      <c r="E9" s="138">
        <f>F53</f>
        <v>2.2671455640410958</v>
      </c>
      <c r="F9" s="107"/>
      <c r="G9" s="141" t="s">
        <v>119</v>
      </c>
      <c r="H9" s="141"/>
      <c r="I9" s="141"/>
      <c r="J9" s="141"/>
      <c r="K9" s="141"/>
      <c r="L9" s="141"/>
      <c r="M9" s="141"/>
      <c r="N9" s="141"/>
      <c r="O9" s="141"/>
    </row>
    <row r="10" spans="1:24" ht="14.25" customHeight="1">
      <c r="A10" s="134" t="s">
        <v>13</v>
      </c>
      <c r="B10" s="135">
        <v>4.0000000000000001E-3</v>
      </c>
      <c r="C10" s="136" t="s">
        <v>120</v>
      </c>
      <c r="D10" s="137">
        <f>B59</f>
        <v>22.746035648099994</v>
      </c>
      <c r="E10" s="138">
        <f>F59</f>
        <v>5.1931588237671216</v>
      </c>
      <c r="F10" s="107"/>
      <c r="G10" s="107"/>
      <c r="H10" s="143"/>
      <c r="I10" s="143"/>
      <c r="J10" s="143"/>
      <c r="K10" s="143"/>
      <c r="L10" s="143"/>
      <c r="M10" s="143"/>
      <c r="N10" s="143"/>
      <c r="O10" s="143"/>
      <c r="P10" s="143"/>
    </row>
    <row r="11" spans="1:24" ht="14.25" customHeight="1">
      <c r="A11" s="134" t="s">
        <v>36</v>
      </c>
      <c r="B11" s="135">
        <v>4.2999999999999999E-4</v>
      </c>
      <c r="C11" s="136">
        <v>2.2589999999999999E-2</v>
      </c>
      <c r="D11" s="137">
        <f>B65</f>
        <v>1.3307727355109997</v>
      </c>
      <c r="E11" s="138">
        <f>F65</f>
        <v>0.303829391669178</v>
      </c>
      <c r="F11" s="144" t="s">
        <v>121</v>
      </c>
      <c r="G11" s="141" t="s">
        <v>122</v>
      </c>
      <c r="H11" s="141"/>
      <c r="I11" s="141"/>
      <c r="J11" s="141"/>
      <c r="K11" s="141"/>
      <c r="L11" s="141"/>
      <c r="N11" s="143"/>
      <c r="O11" s="143"/>
      <c r="P11" s="143"/>
      <c r="V11" t="s">
        <v>18</v>
      </c>
      <c r="W11">
        <f>(157765.7+153.2+365.3)*2204.6/13621578</f>
        <v>25.617688884503689</v>
      </c>
      <c r="X11" t="s">
        <v>123</v>
      </c>
    </row>
    <row r="12" spans="1:24" ht="14.25" customHeight="1">
      <c r="A12" s="134" t="s">
        <v>17</v>
      </c>
      <c r="B12" s="135">
        <v>0</v>
      </c>
      <c r="C12" s="145">
        <v>4.6299999999999997E-6</v>
      </c>
      <c r="D12" s="137">
        <f>B71</f>
        <v>1.7033047951499998E-4</v>
      </c>
      <c r="E12" s="138">
        <f>F71</f>
        <v>3.8888237332191773E-5</v>
      </c>
      <c r="F12" s="125"/>
      <c r="G12" s="125"/>
      <c r="H12" s="125"/>
      <c r="I12" s="125"/>
      <c r="J12" s="125"/>
      <c r="K12" s="125"/>
      <c r="L12" s="125"/>
      <c r="M12" s="125"/>
      <c r="N12" s="125"/>
      <c r="O12" s="125"/>
      <c r="P12" s="125"/>
      <c r="W12">
        <f>(989989.8+466.4+556)*2204.62/18132099995</f>
        <v>0.12049378268189943</v>
      </c>
      <c r="X12" t="s">
        <v>124</v>
      </c>
    </row>
    <row r="13" spans="1:24" ht="14.25" customHeight="1">
      <c r="A13" s="134" t="s">
        <v>18</v>
      </c>
      <c r="B13" s="135" t="s">
        <v>125</v>
      </c>
      <c r="C13" s="135" t="s">
        <v>126</v>
      </c>
      <c r="D13" s="146">
        <f>B77</f>
        <v>140928.19791940512</v>
      </c>
      <c r="E13" s="147">
        <f>F77</f>
        <v>32175.387652832218</v>
      </c>
      <c r="F13" s="125"/>
      <c r="G13" s="125"/>
      <c r="H13" s="125"/>
      <c r="I13" s="125"/>
      <c r="J13" s="125"/>
      <c r="K13" s="125"/>
      <c r="L13" s="125"/>
      <c r="M13" s="125"/>
      <c r="N13" s="125"/>
      <c r="O13" s="125"/>
      <c r="P13" s="125"/>
    </row>
    <row r="14" spans="1:24" ht="14.25" customHeight="1">
      <c r="A14" s="148" t="s">
        <v>37</v>
      </c>
      <c r="B14" s="149">
        <v>0</v>
      </c>
      <c r="C14" s="150">
        <v>0</v>
      </c>
      <c r="D14" s="151">
        <v>0</v>
      </c>
      <c r="E14" s="152">
        <v>0</v>
      </c>
      <c r="F14" s="125"/>
      <c r="G14" s="125"/>
      <c r="H14" s="125"/>
      <c r="I14" s="125"/>
      <c r="J14" s="125"/>
      <c r="K14" s="125"/>
      <c r="L14" s="125"/>
      <c r="M14" s="125"/>
      <c r="N14" s="125"/>
      <c r="O14" s="125"/>
      <c r="P14" s="125"/>
    </row>
    <row r="15" spans="1:24" ht="14.25" customHeight="1">
      <c r="A15" s="153"/>
      <c r="B15" s="153"/>
      <c r="C15" s="153"/>
      <c r="D15" s="153"/>
      <c r="E15" s="132"/>
      <c r="H15" s="125"/>
      <c r="I15" s="125"/>
      <c r="J15" s="125"/>
      <c r="K15" s="125"/>
      <c r="L15" s="125"/>
      <c r="M15" s="125"/>
      <c r="N15" s="125"/>
      <c r="O15" s="125"/>
      <c r="P15" s="125"/>
    </row>
    <row r="16" spans="1:24" ht="14.25" customHeight="1">
      <c r="A16" s="154" t="s">
        <v>127</v>
      </c>
      <c r="B16" s="155">
        <f>'Costa Sur'!D10</f>
        <v>490512.54</v>
      </c>
      <c r="C16" s="155"/>
      <c r="D16" s="156" t="s">
        <v>83</v>
      </c>
      <c r="H16" s="125"/>
      <c r="I16" s="125"/>
      <c r="J16" s="125"/>
      <c r="K16" s="125"/>
      <c r="L16" s="125"/>
      <c r="M16" s="125"/>
      <c r="N16" s="125"/>
      <c r="O16" s="125"/>
      <c r="P16" s="125"/>
    </row>
    <row r="17" spans="1:21" ht="14.25" customHeight="1">
      <c r="A17" s="116" t="s">
        <v>128</v>
      </c>
      <c r="B17" s="157">
        <f>'Costa Sur'!B47</f>
        <v>2234892060</v>
      </c>
      <c r="C17" s="157"/>
      <c r="D17" s="133" t="s">
        <v>129</v>
      </c>
      <c r="F17" s="125"/>
      <c r="G17" s="125"/>
      <c r="H17" s="125"/>
      <c r="I17" s="125"/>
      <c r="J17" s="125"/>
      <c r="K17" s="125"/>
      <c r="L17" s="125"/>
      <c r="M17" s="125"/>
      <c r="N17" s="125"/>
      <c r="O17" s="125"/>
      <c r="P17" s="125"/>
    </row>
    <row r="18" spans="1:21" ht="14.25" customHeight="1">
      <c r="A18" s="87" t="s">
        <v>130</v>
      </c>
      <c r="B18" s="158">
        <f>'Costa Sur'!H10</f>
        <v>0.47</v>
      </c>
      <c r="D18" t="s">
        <v>131</v>
      </c>
      <c r="M18" s="125"/>
      <c r="N18" s="125"/>
      <c r="O18" s="125"/>
      <c r="P18" s="125"/>
    </row>
    <row r="19" spans="1:21" ht="14.25" customHeight="1">
      <c r="A19" s="125"/>
      <c r="B19" s="125"/>
      <c r="C19" s="125"/>
      <c r="D19" s="125"/>
      <c r="E19" s="125"/>
      <c r="F19" s="125"/>
      <c r="G19" s="125"/>
      <c r="H19" s="125"/>
      <c r="I19" s="125"/>
      <c r="J19" s="125"/>
      <c r="K19" s="125"/>
      <c r="L19" s="125"/>
      <c r="M19" s="125"/>
      <c r="N19" s="125"/>
      <c r="O19" s="125"/>
      <c r="P19" s="125"/>
    </row>
    <row r="20" spans="1:21" ht="14.25" customHeight="1">
      <c r="A20" s="159" t="s">
        <v>132</v>
      </c>
      <c r="B20" s="160">
        <f>B16</f>
        <v>490512.54</v>
      </c>
      <c r="C20" s="161"/>
      <c r="D20" s="162" t="s">
        <v>133</v>
      </c>
      <c r="E20" s="163">
        <v>0.15</v>
      </c>
      <c r="F20" s="164" t="s">
        <v>134</v>
      </c>
      <c r="G20" s="576" t="s">
        <v>135</v>
      </c>
      <c r="H20" s="165">
        <f>C4</f>
        <v>0.35</v>
      </c>
      <c r="I20" s="166" t="s">
        <v>136</v>
      </c>
      <c r="J20" s="165">
        <v>1</v>
      </c>
      <c r="K20" s="165" t="s">
        <v>90</v>
      </c>
      <c r="L20" s="167" t="s">
        <v>137</v>
      </c>
      <c r="M20" s="168">
        <f>B17</f>
        <v>2234892060</v>
      </c>
      <c r="N20" s="164" t="s">
        <v>138</v>
      </c>
      <c r="O20" s="160">
        <v>1040</v>
      </c>
      <c r="P20" s="162" t="s">
        <v>139</v>
      </c>
      <c r="Q20" s="576" t="s">
        <v>135</v>
      </c>
      <c r="R20" s="165">
        <f>B4</f>
        <v>0.35</v>
      </c>
      <c r="S20" s="166" t="s">
        <v>136</v>
      </c>
      <c r="T20" s="165">
        <v>1</v>
      </c>
      <c r="U20" s="165" t="s">
        <v>90</v>
      </c>
    </row>
    <row r="21" spans="1:21" ht="14.25" customHeight="1">
      <c r="A21" s="107"/>
      <c r="B21" s="113"/>
      <c r="C21" s="107"/>
      <c r="D21" s="169" t="s">
        <v>59</v>
      </c>
      <c r="E21" s="107"/>
      <c r="F21" s="170" t="s">
        <v>88</v>
      </c>
      <c r="G21" s="576"/>
      <c r="H21" s="125"/>
      <c r="I21" s="171" t="s">
        <v>140</v>
      </c>
      <c r="J21" s="172">
        <v>2000</v>
      </c>
      <c r="K21" s="125" t="s">
        <v>141</v>
      </c>
      <c r="L21" s="107"/>
      <c r="M21" s="107"/>
      <c r="N21" s="170" t="s">
        <v>59</v>
      </c>
      <c r="O21" s="173">
        <v>1000000</v>
      </c>
      <c r="P21" s="169" t="s">
        <v>68</v>
      </c>
      <c r="Q21" s="576"/>
      <c r="R21" s="125"/>
      <c r="S21" s="171" t="s">
        <v>140</v>
      </c>
      <c r="T21" s="172">
        <v>2000</v>
      </c>
      <c r="U21" s="125" t="s">
        <v>141</v>
      </c>
    </row>
    <row r="22" spans="1:21" ht="14.25" customHeight="1">
      <c r="A22" s="125"/>
      <c r="B22" s="125"/>
      <c r="C22" s="125"/>
      <c r="D22" s="125"/>
      <c r="E22" s="125"/>
      <c r="F22" s="125"/>
      <c r="G22" s="125"/>
      <c r="H22" s="125"/>
      <c r="I22" s="125"/>
      <c r="J22" s="125"/>
      <c r="K22" s="125"/>
      <c r="L22" s="125"/>
      <c r="M22" s="125"/>
      <c r="N22" s="125"/>
      <c r="O22" s="125"/>
      <c r="P22" s="125"/>
    </row>
    <row r="23" spans="1:21" ht="14.25" customHeight="1">
      <c r="A23" s="159"/>
      <c r="B23" s="174">
        <f>(B20*E20*H20+M20*O20*R20/1000000)/2000</f>
        <v>419.62630909500001</v>
      </c>
      <c r="C23" s="174"/>
      <c r="D23" s="125" t="s">
        <v>142</v>
      </c>
      <c r="E23" s="159" t="s">
        <v>86</v>
      </c>
      <c r="F23" s="132">
        <f>B23*(2000/8760)</f>
        <v>95.805093400684925</v>
      </c>
      <c r="G23" s="125" t="s">
        <v>143</v>
      </c>
      <c r="H23" s="175"/>
      <c r="I23" s="125"/>
      <c r="J23" s="125"/>
      <c r="K23" s="125"/>
      <c r="L23" s="125"/>
      <c r="M23" s="125"/>
      <c r="N23" s="125"/>
      <c r="O23" s="125"/>
      <c r="P23" s="125"/>
    </row>
    <row r="24" spans="1:21" ht="14.25" customHeight="1">
      <c r="A24" s="125"/>
      <c r="B24" s="125"/>
      <c r="C24" s="125"/>
      <c r="D24" s="125"/>
      <c r="E24" s="125"/>
      <c r="F24" s="125"/>
      <c r="G24" s="125"/>
      <c r="H24" s="176"/>
      <c r="I24" s="176"/>
      <c r="J24" s="176"/>
      <c r="K24" s="125"/>
      <c r="L24" s="125"/>
      <c r="M24" s="125"/>
      <c r="N24" s="125"/>
      <c r="O24" s="125"/>
      <c r="P24" s="125"/>
    </row>
    <row r="25" spans="1:21" ht="14.25" customHeight="1">
      <c r="A25" s="125"/>
      <c r="B25" s="125"/>
      <c r="C25" s="125"/>
      <c r="D25" s="125"/>
      <c r="E25" s="125"/>
      <c r="F25" s="125"/>
      <c r="G25" s="125"/>
      <c r="H25" s="125"/>
      <c r="I25" s="125"/>
      <c r="J25" s="125"/>
      <c r="K25" s="125"/>
      <c r="L25" s="125"/>
      <c r="M25" s="125"/>
      <c r="N25" s="125"/>
      <c r="O25" s="125"/>
      <c r="P25" s="125"/>
    </row>
    <row r="26" spans="1:21" ht="14.25" customHeight="1">
      <c r="A26" s="159" t="s">
        <v>144</v>
      </c>
      <c r="B26" s="160">
        <f>B16</f>
        <v>490512.54</v>
      </c>
      <c r="C26" s="161"/>
      <c r="D26" s="162" t="s">
        <v>133</v>
      </c>
      <c r="E26" s="163">
        <v>0.15</v>
      </c>
      <c r="F26" s="164" t="s">
        <v>134</v>
      </c>
      <c r="G26" s="576" t="s">
        <v>135</v>
      </c>
      <c r="H26" s="165">
        <f>C5</f>
        <v>3.8E-3</v>
      </c>
      <c r="I26" s="166" t="s">
        <v>136</v>
      </c>
      <c r="J26" s="165">
        <v>1</v>
      </c>
      <c r="K26" s="165" t="s">
        <v>90</v>
      </c>
      <c r="L26" s="167" t="s">
        <v>137</v>
      </c>
      <c r="M26" s="168">
        <f>B17</f>
        <v>2234892060</v>
      </c>
      <c r="N26" s="162" t="s">
        <v>138</v>
      </c>
      <c r="O26" s="161">
        <v>1040</v>
      </c>
      <c r="P26" s="162" t="s">
        <v>139</v>
      </c>
      <c r="Q26" s="113" t="s">
        <v>135</v>
      </c>
      <c r="R26" s="165">
        <f>B5</f>
        <v>8.9999999999999993E-3</v>
      </c>
      <c r="S26" s="166" t="s">
        <v>136</v>
      </c>
      <c r="T26" s="177">
        <v>1</v>
      </c>
      <c r="U26" s="165" t="s">
        <v>90</v>
      </c>
    </row>
    <row r="27" spans="1:21" ht="14.25" customHeight="1">
      <c r="A27" s="107"/>
      <c r="B27" s="113"/>
      <c r="C27" s="107"/>
      <c r="D27" s="169" t="s">
        <v>59</v>
      </c>
      <c r="E27" s="107"/>
      <c r="F27" s="178" t="s">
        <v>88</v>
      </c>
      <c r="G27" s="576"/>
      <c r="H27" s="125"/>
      <c r="I27" s="171" t="s">
        <v>140</v>
      </c>
      <c r="J27" s="172">
        <v>2000</v>
      </c>
      <c r="K27" s="125" t="s">
        <v>141</v>
      </c>
      <c r="L27" s="107"/>
      <c r="M27" s="107"/>
      <c r="N27" s="169" t="s">
        <v>59</v>
      </c>
      <c r="O27" s="179">
        <v>1000000</v>
      </c>
      <c r="P27" s="169" t="s">
        <v>68</v>
      </c>
      <c r="Q27" s="113"/>
      <c r="R27" s="125"/>
      <c r="S27" s="171" t="s">
        <v>140</v>
      </c>
      <c r="T27" s="180">
        <v>2000</v>
      </c>
      <c r="U27" s="125" t="s">
        <v>141</v>
      </c>
    </row>
    <row r="28" spans="1:21" ht="14.25" customHeight="1">
      <c r="A28" s="125"/>
      <c r="B28" s="125"/>
      <c r="C28" s="125"/>
      <c r="D28" s="125"/>
      <c r="E28" s="125"/>
      <c r="F28" s="125"/>
      <c r="G28" s="125"/>
      <c r="H28" s="125"/>
      <c r="I28" s="125"/>
      <c r="J28" s="125"/>
      <c r="K28" s="125"/>
      <c r="L28" s="125"/>
      <c r="M28" s="125"/>
      <c r="N28" s="125"/>
      <c r="O28" s="125"/>
      <c r="P28" s="125"/>
    </row>
    <row r="29" spans="1:21" ht="14.25" customHeight="1">
      <c r="A29" s="159"/>
      <c r="B29" s="174">
        <f>(B26*E26*H26+M26*O26*R26/1000000)/2000</f>
        <v>10.599090914699998</v>
      </c>
      <c r="C29" s="174"/>
      <c r="D29" s="125" t="s">
        <v>142</v>
      </c>
      <c r="E29" s="159" t="s">
        <v>86</v>
      </c>
      <c r="F29" s="132">
        <f>B29*(2000/8760)</f>
        <v>2.4198837704794514</v>
      </c>
      <c r="G29" s="125" t="s">
        <v>143</v>
      </c>
      <c r="I29" s="125"/>
      <c r="J29" s="125"/>
      <c r="K29" s="125"/>
      <c r="L29" s="125"/>
      <c r="M29" s="125"/>
      <c r="N29" s="125"/>
      <c r="O29" s="125"/>
      <c r="P29" s="125"/>
    </row>
    <row r="30" spans="1:21" ht="14.25" customHeight="1">
      <c r="A30" s="125"/>
      <c r="B30" s="125"/>
      <c r="C30" s="125"/>
      <c r="D30" s="125"/>
      <c r="E30" s="125"/>
      <c r="F30" s="125"/>
      <c r="G30" s="125"/>
      <c r="H30" s="125"/>
      <c r="I30" s="125"/>
      <c r="J30" s="125"/>
      <c r="K30" s="125"/>
      <c r="L30" s="125"/>
      <c r="M30" s="125"/>
      <c r="N30" s="125"/>
      <c r="O30" s="125"/>
      <c r="P30" s="125"/>
    </row>
    <row r="31" spans="1:21" ht="14.25" customHeight="1">
      <c r="A31" s="125"/>
      <c r="B31" s="125"/>
      <c r="C31" s="125"/>
      <c r="D31" s="125"/>
      <c r="E31" s="125"/>
      <c r="F31" s="125"/>
      <c r="G31" s="125"/>
      <c r="H31" s="125"/>
      <c r="I31" s="125"/>
      <c r="J31" s="125"/>
      <c r="K31" s="125"/>
      <c r="L31" s="125"/>
      <c r="M31" s="125"/>
      <c r="N31" s="125"/>
      <c r="O31" s="125"/>
      <c r="P31" s="125"/>
    </row>
    <row r="32" spans="1:21" ht="14.25" customHeight="1">
      <c r="A32" s="159" t="s">
        <v>145</v>
      </c>
      <c r="B32" s="160">
        <f>B16</f>
        <v>490512.54</v>
      </c>
      <c r="C32" s="161"/>
      <c r="D32" s="162" t="s">
        <v>133</v>
      </c>
      <c r="E32" s="163">
        <v>0.15</v>
      </c>
      <c r="F32" s="164" t="s">
        <v>134</v>
      </c>
      <c r="G32" s="576" t="s">
        <v>135</v>
      </c>
      <c r="H32" s="165">
        <f>C6</f>
        <v>1.2999999999999999E-3</v>
      </c>
      <c r="I32" s="166" t="s">
        <v>136</v>
      </c>
      <c r="J32" s="165">
        <v>1</v>
      </c>
      <c r="K32" s="165" t="s">
        <v>90</v>
      </c>
      <c r="L32" s="167" t="s">
        <v>137</v>
      </c>
      <c r="M32" s="168">
        <f>B17</f>
        <v>2234892060</v>
      </c>
      <c r="N32" s="162" t="s">
        <v>138</v>
      </c>
      <c r="O32" s="161">
        <v>1040</v>
      </c>
      <c r="P32" s="162" t="s">
        <v>139</v>
      </c>
      <c r="Q32" s="113" t="s">
        <v>135</v>
      </c>
      <c r="R32" s="165">
        <f>B6</f>
        <v>8.0000000000000004E-4</v>
      </c>
      <c r="S32" s="166" t="s">
        <v>136</v>
      </c>
      <c r="T32" s="165">
        <v>1</v>
      </c>
      <c r="U32" s="165" t="s">
        <v>90</v>
      </c>
    </row>
    <row r="33" spans="1:21" ht="14.25" customHeight="1">
      <c r="A33" s="107"/>
      <c r="B33" s="113"/>
      <c r="C33" s="107"/>
      <c r="D33" s="169" t="s">
        <v>59</v>
      </c>
      <c r="E33" s="107"/>
      <c r="F33" s="170" t="s">
        <v>88</v>
      </c>
      <c r="G33" s="576"/>
      <c r="H33" s="125"/>
      <c r="I33" s="171" t="s">
        <v>140</v>
      </c>
      <c r="J33" s="172">
        <v>2000</v>
      </c>
      <c r="K33" s="125" t="s">
        <v>141</v>
      </c>
      <c r="L33" s="107"/>
      <c r="M33" s="107"/>
      <c r="N33" s="169" t="s">
        <v>59</v>
      </c>
      <c r="O33" s="179">
        <v>1000000</v>
      </c>
      <c r="P33" s="169" t="s">
        <v>68</v>
      </c>
      <c r="Q33" s="113"/>
      <c r="R33" s="125"/>
      <c r="S33" s="171" t="s">
        <v>140</v>
      </c>
      <c r="T33" s="172">
        <v>2000</v>
      </c>
      <c r="U33" s="125" t="s">
        <v>141</v>
      </c>
    </row>
    <row r="34" spans="1:21" ht="14.25" customHeight="1">
      <c r="A34" s="125"/>
      <c r="B34" s="125"/>
      <c r="C34" s="125"/>
      <c r="D34" s="125"/>
      <c r="E34" s="125"/>
      <c r="F34" s="125"/>
      <c r="G34" s="125"/>
      <c r="H34" s="125"/>
      <c r="I34" s="125"/>
      <c r="J34" s="125"/>
      <c r="K34" s="125"/>
      <c r="L34" s="125"/>
      <c r="M34" s="125"/>
      <c r="N34" s="125"/>
      <c r="O34" s="125"/>
      <c r="P34" s="125"/>
    </row>
    <row r="35" spans="1:21" ht="14.25" customHeight="1">
      <c r="A35" s="159"/>
      <c r="B35" s="174">
        <f>(B32*E32*H32+M32*O32*R32/1000000)/2000</f>
        <v>0.97754006960999995</v>
      </c>
      <c r="C35" s="174"/>
      <c r="D35" s="125" t="s">
        <v>142</v>
      </c>
      <c r="E35" s="159" t="s">
        <v>86</v>
      </c>
      <c r="F35" s="132">
        <f>B35*(2000/8760)</f>
        <v>0.22318266429452052</v>
      </c>
      <c r="G35" s="125" t="s">
        <v>143</v>
      </c>
      <c r="I35" s="125"/>
      <c r="J35" s="125"/>
      <c r="K35" s="125"/>
      <c r="L35" s="125"/>
      <c r="M35" s="125"/>
      <c r="N35" s="125"/>
      <c r="O35" s="125"/>
      <c r="P35" s="125"/>
    </row>
    <row r="36" spans="1:21" ht="14.25" customHeight="1">
      <c r="A36" s="125"/>
      <c r="B36" s="125"/>
      <c r="C36" s="125"/>
      <c r="D36" s="125"/>
      <c r="E36" s="125"/>
      <c r="F36" s="125"/>
      <c r="G36" s="125"/>
      <c r="H36" s="125"/>
      <c r="I36" s="125"/>
      <c r="J36" s="125"/>
      <c r="K36" s="125"/>
      <c r="L36" s="125"/>
      <c r="M36" s="125"/>
      <c r="N36" s="125"/>
      <c r="O36" s="125"/>
      <c r="P36" s="125"/>
    </row>
    <row r="37" spans="1:21" ht="14.25" customHeight="1">
      <c r="A37" s="125"/>
      <c r="B37" s="125"/>
      <c r="C37" s="125"/>
      <c r="D37" s="125"/>
      <c r="E37" s="125"/>
      <c r="F37" s="125"/>
      <c r="G37" s="125"/>
      <c r="H37" s="125"/>
      <c r="I37" s="125"/>
      <c r="J37" s="125"/>
      <c r="K37" s="125"/>
      <c r="L37" s="125"/>
      <c r="M37" s="125"/>
      <c r="N37" s="125"/>
      <c r="O37" s="125"/>
      <c r="P37" s="125"/>
    </row>
    <row r="38" spans="1:21" ht="14.25" customHeight="1">
      <c r="A38" s="159" t="s">
        <v>146</v>
      </c>
      <c r="B38" s="160">
        <f>B16</f>
        <v>490512.54</v>
      </c>
      <c r="C38" s="161"/>
      <c r="D38" s="162" t="s">
        <v>133</v>
      </c>
      <c r="E38" s="163">
        <v>0.15</v>
      </c>
      <c r="F38" s="164" t="s">
        <v>134</v>
      </c>
      <c r="G38" s="576" t="s">
        <v>135</v>
      </c>
      <c r="H38" s="165">
        <f>C7</f>
        <v>2.75E-2</v>
      </c>
      <c r="I38" s="166" t="s">
        <v>136</v>
      </c>
      <c r="J38" s="165">
        <v>1</v>
      </c>
      <c r="K38" s="165" t="s">
        <v>90</v>
      </c>
      <c r="L38" s="167" t="s">
        <v>137</v>
      </c>
      <c r="M38" s="168">
        <f>B17</f>
        <v>2234892060</v>
      </c>
      <c r="N38" s="162" t="s">
        <v>138</v>
      </c>
      <c r="O38" s="161">
        <v>1040</v>
      </c>
      <c r="P38" s="162" t="s">
        <v>139</v>
      </c>
      <c r="Q38" s="113" t="s">
        <v>135</v>
      </c>
      <c r="R38" s="165">
        <f>B7</f>
        <v>5.0000000000000001E-3</v>
      </c>
      <c r="S38" s="166" t="s">
        <v>136</v>
      </c>
      <c r="T38" s="165">
        <v>1</v>
      </c>
      <c r="U38" s="165" t="s">
        <v>90</v>
      </c>
    </row>
    <row r="39" spans="1:21" ht="14.25" customHeight="1">
      <c r="A39" s="107"/>
      <c r="B39" s="113"/>
      <c r="C39" s="107"/>
      <c r="D39" s="169" t="s">
        <v>59</v>
      </c>
      <c r="E39" s="107"/>
      <c r="F39" s="170" t="s">
        <v>88</v>
      </c>
      <c r="G39" s="576"/>
      <c r="H39" s="125"/>
      <c r="I39" s="171" t="s">
        <v>140</v>
      </c>
      <c r="J39" s="172">
        <v>2000</v>
      </c>
      <c r="K39" s="125" t="s">
        <v>141</v>
      </c>
      <c r="L39" s="107"/>
      <c r="M39" s="107"/>
      <c r="N39" s="169" t="s">
        <v>59</v>
      </c>
      <c r="O39" s="179">
        <v>1000000</v>
      </c>
      <c r="P39" s="169" t="s">
        <v>68</v>
      </c>
      <c r="Q39" s="113"/>
      <c r="R39" s="125"/>
      <c r="S39" s="171" t="s">
        <v>140</v>
      </c>
      <c r="T39" s="172">
        <v>2000</v>
      </c>
      <c r="U39" s="125" t="s">
        <v>141</v>
      </c>
    </row>
    <row r="40" spans="1:21" ht="14.25" customHeight="1">
      <c r="A40" s="125"/>
      <c r="B40" s="125"/>
      <c r="C40" s="125"/>
      <c r="D40" s="125"/>
      <c r="E40" s="125"/>
      <c r="F40" s="125"/>
      <c r="L40" s="125"/>
      <c r="M40" s="125"/>
      <c r="N40" s="125"/>
      <c r="O40" s="125"/>
      <c r="P40" s="125"/>
      <c r="Q40" s="125"/>
      <c r="R40" s="125"/>
      <c r="S40" s="125"/>
      <c r="T40" s="125"/>
      <c r="U40" s="125"/>
    </row>
    <row r="41" spans="1:21" ht="14.25" customHeight="1">
      <c r="A41" s="159"/>
      <c r="B41" s="174">
        <f>(B38*E38*H38+M38*O38*R38/1000000)/2000</f>
        <v>6.8224014697499999</v>
      </c>
      <c r="C41" s="174"/>
      <c r="D41" s="125" t="s">
        <v>142</v>
      </c>
      <c r="E41" s="159" t="s">
        <v>86</v>
      </c>
      <c r="F41" s="132">
        <f>B41*(2000/8760)</f>
        <v>1.5576259063356164</v>
      </c>
      <c r="G41" s="125" t="s">
        <v>143</v>
      </c>
      <c r="L41" s="125" t="s">
        <v>143</v>
      </c>
      <c r="N41" s="125"/>
      <c r="O41" s="125"/>
      <c r="P41" s="125"/>
      <c r="Q41" s="125"/>
      <c r="R41" s="125"/>
      <c r="S41" s="125"/>
      <c r="T41" s="125"/>
      <c r="U41" s="125"/>
    </row>
    <row r="42" spans="1:21" ht="14.25" customHeight="1">
      <c r="A42" s="159"/>
      <c r="B42" s="174"/>
      <c r="C42" s="174"/>
      <c r="D42" s="125"/>
      <c r="E42" s="159"/>
      <c r="F42" s="132"/>
      <c r="L42" s="125"/>
      <c r="N42" s="125"/>
      <c r="O42" s="125"/>
      <c r="P42" s="125"/>
      <c r="Q42" s="125"/>
      <c r="R42" s="125"/>
      <c r="S42" s="125"/>
      <c r="T42" s="125"/>
      <c r="U42" s="125"/>
    </row>
    <row r="43" spans="1:21" ht="14.25" customHeight="1">
      <c r="A43" s="159"/>
      <c r="B43" s="174"/>
      <c r="C43" s="174"/>
      <c r="D43" s="125"/>
      <c r="E43" s="159"/>
      <c r="F43" s="132"/>
      <c r="L43" s="125"/>
      <c r="N43" s="125"/>
      <c r="O43" s="125"/>
      <c r="P43" s="125"/>
      <c r="Q43" s="125"/>
      <c r="R43" s="125"/>
      <c r="S43" s="125"/>
      <c r="T43" s="125"/>
      <c r="U43" s="125"/>
    </row>
    <row r="44" spans="1:21" ht="14.25" customHeight="1">
      <c r="A44" s="159" t="s">
        <v>147</v>
      </c>
      <c r="B44" s="160">
        <f>B16</f>
        <v>490512.54</v>
      </c>
      <c r="C44" s="161"/>
      <c r="D44" s="162" t="s">
        <v>133</v>
      </c>
      <c r="E44" s="163">
        <v>0.15</v>
      </c>
      <c r="F44" s="164" t="s">
        <v>134</v>
      </c>
      <c r="G44" s="576" t="s">
        <v>135</v>
      </c>
      <c r="H44" s="165">
        <f>C8</f>
        <v>0.04</v>
      </c>
      <c r="I44" s="166" t="s">
        <v>136</v>
      </c>
      <c r="J44" s="165">
        <v>1</v>
      </c>
      <c r="K44" s="165" t="s">
        <v>90</v>
      </c>
      <c r="L44" s="167" t="s">
        <v>137</v>
      </c>
      <c r="M44" s="168">
        <f>B17</f>
        <v>2234892060</v>
      </c>
      <c r="N44" s="162" t="s">
        <v>138</v>
      </c>
      <c r="O44" s="161">
        <v>1040</v>
      </c>
      <c r="P44" s="162" t="s">
        <v>139</v>
      </c>
      <c r="Q44" s="113" t="s">
        <v>135</v>
      </c>
      <c r="R44" s="165">
        <f>B8</f>
        <v>8.0999999999999996E-3</v>
      </c>
      <c r="S44" s="166" t="s">
        <v>136</v>
      </c>
      <c r="T44" s="165">
        <v>1</v>
      </c>
      <c r="U44" s="165" t="s">
        <v>90</v>
      </c>
    </row>
    <row r="45" spans="1:21" ht="14.25" customHeight="1">
      <c r="A45" s="107"/>
      <c r="B45" s="113"/>
      <c r="C45" s="107"/>
      <c r="D45" s="169" t="s">
        <v>59</v>
      </c>
      <c r="E45" s="107"/>
      <c r="F45" s="170" t="s">
        <v>88</v>
      </c>
      <c r="G45" s="576"/>
      <c r="H45" s="125"/>
      <c r="I45" s="171" t="s">
        <v>140</v>
      </c>
      <c r="J45" s="172">
        <v>2000</v>
      </c>
      <c r="K45" s="125" t="s">
        <v>141</v>
      </c>
      <c r="L45" s="107"/>
      <c r="M45" s="107"/>
      <c r="N45" s="169" t="s">
        <v>59</v>
      </c>
      <c r="O45" s="179">
        <v>1000000</v>
      </c>
      <c r="P45" s="169" t="s">
        <v>68</v>
      </c>
      <c r="Q45" s="113"/>
      <c r="R45" s="125"/>
      <c r="S45" s="171" t="s">
        <v>140</v>
      </c>
      <c r="T45" s="172">
        <v>2000</v>
      </c>
      <c r="U45" s="125" t="s">
        <v>141</v>
      </c>
    </row>
    <row r="46" spans="1:21" ht="14.25" customHeight="1">
      <c r="A46" s="125"/>
      <c r="B46" s="125"/>
      <c r="C46" s="125"/>
      <c r="D46" s="125"/>
      <c r="E46" s="125"/>
      <c r="F46" s="125"/>
      <c r="L46" s="125"/>
      <c r="M46" s="125"/>
      <c r="N46" s="125"/>
      <c r="O46" s="125"/>
      <c r="P46" s="125"/>
      <c r="Q46" s="125"/>
      <c r="R46" s="125"/>
      <c r="S46" s="125"/>
      <c r="T46" s="125"/>
      <c r="U46" s="125"/>
    </row>
    <row r="47" spans="1:21" ht="14.25" customHeight="1">
      <c r="A47" s="159"/>
      <c r="B47" s="174">
        <f>(B44*E44*H44+M44*O44*R44/1000000)/2000</f>
        <v>10.884902976719999</v>
      </c>
      <c r="C47" s="174"/>
      <c r="D47" s="125" t="s">
        <v>142</v>
      </c>
      <c r="E47" s="159" t="s">
        <v>86</v>
      </c>
      <c r="F47" s="132">
        <f>B47*(2000/8760)</f>
        <v>2.4851376659178079</v>
      </c>
      <c r="G47" s="125" t="s">
        <v>143</v>
      </c>
      <c r="L47" s="125" t="s">
        <v>143</v>
      </c>
      <c r="N47" s="125"/>
      <c r="O47" s="125"/>
      <c r="P47" s="125"/>
      <c r="Q47" s="125"/>
      <c r="R47" s="125"/>
      <c r="S47" s="125"/>
      <c r="T47" s="125"/>
      <c r="U47" s="125"/>
    </row>
    <row r="48" spans="1:21" ht="14.25" customHeight="1">
      <c r="A48" s="125"/>
      <c r="B48" s="125"/>
      <c r="C48" s="125"/>
      <c r="D48" s="125"/>
      <c r="E48" s="125"/>
      <c r="F48" s="125"/>
      <c r="L48" s="125"/>
      <c r="M48" s="125"/>
      <c r="N48" s="125"/>
      <c r="O48" s="125"/>
      <c r="P48" s="125"/>
      <c r="Q48" s="125"/>
      <c r="R48" s="125"/>
      <c r="S48" s="125"/>
      <c r="T48" s="125"/>
      <c r="U48" s="125"/>
    </row>
    <row r="49" spans="1:21" ht="14.25" customHeight="1">
      <c r="A49" s="125"/>
      <c r="B49" s="125"/>
      <c r="C49" s="125"/>
      <c r="D49" s="125"/>
      <c r="E49" s="125"/>
      <c r="F49" s="125"/>
      <c r="L49" s="125"/>
      <c r="M49" s="125"/>
      <c r="N49" s="125"/>
      <c r="O49" s="125"/>
      <c r="P49" s="125"/>
      <c r="Q49" s="125"/>
      <c r="R49" s="125"/>
      <c r="S49" s="125"/>
      <c r="T49" s="125"/>
      <c r="U49" s="125"/>
    </row>
    <row r="50" spans="1:21" ht="14.25" customHeight="1">
      <c r="A50" s="159" t="s">
        <v>148</v>
      </c>
      <c r="B50" s="160">
        <f>B16</f>
        <v>490512.54</v>
      </c>
      <c r="C50" s="161"/>
      <c r="D50" s="162" t="s">
        <v>133</v>
      </c>
      <c r="E50" s="163">
        <v>0.15</v>
      </c>
      <c r="F50" s="164" t="s">
        <v>134</v>
      </c>
      <c r="G50" s="576" t="s">
        <v>135</v>
      </c>
      <c r="H50" s="165">
        <f>C9</f>
        <v>3.3000000000000002E-2</v>
      </c>
      <c r="I50" s="166" t="s">
        <v>136</v>
      </c>
      <c r="J50" s="165">
        <v>1</v>
      </c>
      <c r="K50" s="165" t="s">
        <v>90</v>
      </c>
      <c r="L50" s="167" t="s">
        <v>137</v>
      </c>
      <c r="M50" s="168">
        <f>B17</f>
        <v>2234892060</v>
      </c>
      <c r="N50" s="162" t="s">
        <v>138</v>
      </c>
      <c r="O50" s="161">
        <v>1040</v>
      </c>
      <c r="P50" s="162" t="s">
        <v>139</v>
      </c>
      <c r="Q50" s="113" t="s">
        <v>135</v>
      </c>
      <c r="R50" s="165">
        <f>B9</f>
        <v>7.4999999999999997E-3</v>
      </c>
      <c r="S50" s="166" t="s">
        <v>136</v>
      </c>
      <c r="T50" s="165">
        <v>1</v>
      </c>
      <c r="U50" s="165" t="s">
        <v>90</v>
      </c>
    </row>
    <row r="51" spans="1:21" ht="14.25" customHeight="1">
      <c r="A51" s="107"/>
      <c r="B51" s="113"/>
      <c r="C51" s="107"/>
      <c r="D51" s="169" t="s">
        <v>59</v>
      </c>
      <c r="E51" s="107"/>
      <c r="F51" s="170" t="s">
        <v>88</v>
      </c>
      <c r="G51" s="576"/>
      <c r="H51" s="125"/>
      <c r="I51" s="171" t="s">
        <v>140</v>
      </c>
      <c r="J51" s="172">
        <v>2000</v>
      </c>
      <c r="K51" s="125" t="s">
        <v>141</v>
      </c>
      <c r="L51" s="107"/>
      <c r="M51" s="107"/>
      <c r="N51" s="169" t="s">
        <v>59</v>
      </c>
      <c r="O51" s="179">
        <v>1000000</v>
      </c>
      <c r="P51" s="169" t="s">
        <v>68</v>
      </c>
      <c r="Q51" s="113"/>
      <c r="R51" s="125"/>
      <c r="S51" s="171" t="s">
        <v>140</v>
      </c>
      <c r="T51" s="172">
        <v>2000</v>
      </c>
      <c r="U51" s="125" t="s">
        <v>141</v>
      </c>
    </row>
    <row r="52" spans="1:21" ht="14.25" customHeight="1">
      <c r="A52" s="125"/>
      <c r="B52" s="125"/>
      <c r="C52" s="125"/>
      <c r="D52" s="125"/>
      <c r="E52" s="125"/>
      <c r="F52" s="125"/>
      <c r="L52" s="125"/>
      <c r="M52" s="125"/>
      <c r="N52" s="125"/>
      <c r="O52" s="125"/>
      <c r="P52" s="125"/>
      <c r="Q52" s="125"/>
      <c r="R52" s="125"/>
      <c r="S52" s="125"/>
      <c r="T52" s="125"/>
      <c r="U52" s="125"/>
    </row>
    <row r="53" spans="1:21" ht="14.25" customHeight="1">
      <c r="A53" s="159"/>
      <c r="B53" s="174">
        <f>(B50*E50*H50+M50*O50*R50/1000000)/2000</f>
        <v>9.9300975704999992</v>
      </c>
      <c r="C53" s="174"/>
      <c r="D53" s="125" t="s">
        <v>142</v>
      </c>
      <c r="E53" s="159" t="s">
        <v>86</v>
      </c>
      <c r="F53" s="132">
        <f>B53*(2000/8760)</f>
        <v>2.2671455640410958</v>
      </c>
      <c r="G53" s="125" t="s">
        <v>143</v>
      </c>
      <c r="L53" s="125" t="s">
        <v>143</v>
      </c>
      <c r="N53" s="125"/>
      <c r="O53" s="125"/>
      <c r="P53" s="125"/>
      <c r="Q53" s="125"/>
      <c r="R53" s="125"/>
      <c r="S53" s="125"/>
      <c r="T53" s="125"/>
      <c r="U53" s="125"/>
    </row>
    <row r="54" spans="1:21" ht="14.25" customHeight="1">
      <c r="A54" s="125"/>
      <c r="B54" s="125"/>
      <c r="C54" s="125"/>
      <c r="D54" s="125"/>
      <c r="E54" s="125"/>
      <c r="F54" s="125"/>
      <c r="L54" s="125"/>
      <c r="M54" s="125"/>
      <c r="N54" s="125"/>
      <c r="O54" s="125"/>
      <c r="P54" s="125"/>
      <c r="Q54" s="125"/>
      <c r="R54" s="125"/>
      <c r="S54" s="125"/>
      <c r="T54" s="125"/>
      <c r="U54" s="125"/>
    </row>
    <row r="55" spans="1:21" ht="14.25" customHeight="1">
      <c r="A55" s="125"/>
      <c r="B55" s="125"/>
      <c r="C55" s="125"/>
      <c r="D55" s="125"/>
      <c r="E55" s="125"/>
      <c r="F55" s="125"/>
      <c r="L55" s="125"/>
      <c r="M55" s="125"/>
      <c r="N55" s="125"/>
      <c r="O55" s="125"/>
      <c r="P55" s="125"/>
      <c r="Q55" s="125"/>
      <c r="R55" s="125"/>
      <c r="S55" s="125"/>
      <c r="T55" s="125"/>
      <c r="U55" s="125"/>
    </row>
    <row r="56" spans="1:21" ht="14.25" customHeight="1">
      <c r="A56" s="159" t="s">
        <v>149</v>
      </c>
      <c r="B56" s="160">
        <f>B16</f>
        <v>490512.54</v>
      </c>
      <c r="C56" s="161"/>
      <c r="D56" s="162" t="s">
        <v>133</v>
      </c>
      <c r="E56" s="163"/>
      <c r="F56" s="164"/>
      <c r="G56" s="576" t="s">
        <v>135</v>
      </c>
      <c r="H56" s="165">
        <f>(157)*B18</f>
        <v>73.789999999999992</v>
      </c>
      <c r="I56" s="166" t="s">
        <v>136</v>
      </c>
      <c r="J56" s="165">
        <v>1</v>
      </c>
      <c r="K56" s="165" t="s">
        <v>90</v>
      </c>
      <c r="L56" s="167" t="s">
        <v>137</v>
      </c>
      <c r="M56" s="168">
        <f>B17</f>
        <v>2234892060</v>
      </c>
      <c r="N56" s="162" t="s">
        <v>138</v>
      </c>
      <c r="O56" s="161">
        <v>1040</v>
      </c>
      <c r="P56" s="162" t="s">
        <v>139</v>
      </c>
      <c r="Q56" s="113" t="s">
        <v>135</v>
      </c>
      <c r="R56" s="165">
        <f>B10</f>
        <v>4.0000000000000001E-3</v>
      </c>
      <c r="S56" s="166" t="s">
        <v>136</v>
      </c>
      <c r="T56" s="165">
        <v>1</v>
      </c>
      <c r="U56" s="165" t="s">
        <v>90</v>
      </c>
    </row>
    <row r="57" spans="1:21" ht="14.25" customHeight="1">
      <c r="A57" s="107"/>
      <c r="B57" s="113"/>
      <c r="C57" s="107"/>
      <c r="D57" s="169" t="s">
        <v>59</v>
      </c>
      <c r="E57" s="107"/>
      <c r="F57" s="170"/>
      <c r="G57" s="576"/>
      <c r="H57" s="125">
        <v>1000</v>
      </c>
      <c r="I57" s="171" t="s">
        <v>150</v>
      </c>
      <c r="J57" s="172">
        <v>2000</v>
      </c>
      <c r="K57" s="125" t="s">
        <v>141</v>
      </c>
      <c r="L57" s="107"/>
      <c r="M57" s="107"/>
      <c r="N57" s="169" t="s">
        <v>59</v>
      </c>
      <c r="O57" s="179">
        <v>1000000</v>
      </c>
      <c r="P57" s="169" t="s">
        <v>68</v>
      </c>
      <c r="Q57" s="113"/>
      <c r="R57" s="125"/>
      <c r="S57" s="171" t="s">
        <v>140</v>
      </c>
      <c r="T57" s="172">
        <v>2000</v>
      </c>
      <c r="U57" s="125" t="s">
        <v>141</v>
      </c>
    </row>
    <row r="58" spans="1:21" ht="14.25" customHeight="1">
      <c r="A58" s="125"/>
      <c r="B58" s="125"/>
      <c r="C58" s="125"/>
      <c r="D58" s="125"/>
      <c r="E58" s="125"/>
      <c r="F58" s="125"/>
      <c r="L58" s="125"/>
      <c r="M58" s="125"/>
      <c r="N58" s="125"/>
      <c r="O58" s="125"/>
      <c r="P58" s="125"/>
      <c r="Q58" s="125"/>
      <c r="R58" s="125"/>
      <c r="S58" s="125"/>
      <c r="T58" s="125"/>
      <c r="U58" s="125"/>
    </row>
    <row r="59" spans="1:21" ht="14.25" customHeight="1">
      <c r="A59" s="159"/>
      <c r="B59" s="174">
        <f>(B56*H56/H57+M56*O56*R56/1000000)/2000</f>
        <v>22.746035648099994</v>
      </c>
      <c r="C59" s="174"/>
      <c r="D59" s="125" t="s">
        <v>142</v>
      </c>
      <c r="E59" s="159" t="s">
        <v>86</v>
      </c>
      <c r="F59" s="132">
        <f>B59*(2000/8760)</f>
        <v>5.1931588237671216</v>
      </c>
      <c r="G59" s="125" t="s">
        <v>143</v>
      </c>
      <c r="L59" s="125" t="s">
        <v>143</v>
      </c>
      <c r="N59" s="125"/>
      <c r="O59" s="125"/>
      <c r="P59" s="125"/>
      <c r="Q59" s="125"/>
      <c r="R59" s="125"/>
      <c r="S59" s="125"/>
      <c r="T59" s="125"/>
      <c r="U59" s="125"/>
    </row>
    <row r="60" spans="1:21" ht="14.25" customHeight="1">
      <c r="A60" s="125"/>
      <c r="B60" s="125"/>
      <c r="C60" s="125"/>
      <c r="D60" s="125"/>
      <c r="E60" s="125"/>
      <c r="F60" s="125"/>
      <c r="L60" s="125"/>
      <c r="M60" s="125"/>
      <c r="N60" s="125"/>
      <c r="O60" s="125"/>
      <c r="P60" s="125"/>
      <c r="Q60" s="125"/>
      <c r="R60" s="125"/>
      <c r="S60" s="125"/>
      <c r="T60" s="125"/>
      <c r="U60" s="125"/>
    </row>
    <row r="61" spans="1:21" ht="14.25" customHeight="1">
      <c r="A61" s="125"/>
      <c r="B61" s="125"/>
      <c r="C61" s="125"/>
      <c r="D61" s="125"/>
      <c r="E61" s="125"/>
      <c r="F61" s="125"/>
      <c r="L61" s="125"/>
      <c r="M61" s="125"/>
      <c r="N61" s="125"/>
      <c r="O61" s="125"/>
      <c r="P61" s="125"/>
      <c r="Q61" s="125"/>
      <c r="R61" s="125"/>
      <c r="S61" s="125"/>
      <c r="T61" s="125"/>
      <c r="U61" s="125"/>
    </row>
    <row r="62" spans="1:21" ht="14.25" customHeight="1">
      <c r="A62" s="159" t="s">
        <v>151</v>
      </c>
      <c r="B62" s="160">
        <f>B16</f>
        <v>490512.54</v>
      </c>
      <c r="C62" s="161"/>
      <c r="D62" s="162" t="s">
        <v>133</v>
      </c>
      <c r="E62" s="163">
        <v>0.15</v>
      </c>
      <c r="F62" s="164" t="s">
        <v>134</v>
      </c>
      <c r="G62" s="576" t="s">
        <v>135</v>
      </c>
      <c r="H62" s="165">
        <f>C11</f>
        <v>2.2589999999999999E-2</v>
      </c>
      <c r="I62" s="166" t="s">
        <v>136</v>
      </c>
      <c r="J62" s="165">
        <v>1</v>
      </c>
      <c r="K62" s="165" t="s">
        <v>90</v>
      </c>
      <c r="L62" s="167" t="s">
        <v>137</v>
      </c>
      <c r="M62" s="168">
        <f>B17</f>
        <v>2234892060</v>
      </c>
      <c r="N62" s="162" t="s">
        <v>138</v>
      </c>
      <c r="O62" s="161">
        <v>1040</v>
      </c>
      <c r="P62" s="162" t="s">
        <v>139</v>
      </c>
      <c r="Q62" s="113" t="s">
        <v>135</v>
      </c>
      <c r="R62" s="165">
        <f>B11</f>
        <v>4.2999999999999999E-4</v>
      </c>
      <c r="S62" s="166" t="s">
        <v>136</v>
      </c>
      <c r="T62" s="165">
        <v>1</v>
      </c>
      <c r="U62" s="165" t="s">
        <v>90</v>
      </c>
    </row>
    <row r="63" spans="1:21" ht="14.25" customHeight="1">
      <c r="A63" s="107"/>
      <c r="B63" s="113"/>
      <c r="C63" s="107"/>
      <c r="D63" s="169" t="s">
        <v>59</v>
      </c>
      <c r="E63" s="107"/>
      <c r="F63" s="170" t="s">
        <v>88</v>
      </c>
      <c r="G63" s="576"/>
      <c r="H63" s="125"/>
      <c r="I63" s="171" t="s">
        <v>140</v>
      </c>
      <c r="J63" s="172">
        <v>2000</v>
      </c>
      <c r="K63" s="125" t="s">
        <v>141</v>
      </c>
      <c r="L63" s="107"/>
      <c r="M63" s="107"/>
      <c r="N63" s="169" t="s">
        <v>59</v>
      </c>
      <c r="O63" s="179">
        <v>1000000</v>
      </c>
      <c r="P63" s="169" t="s">
        <v>68</v>
      </c>
      <c r="Q63" s="113"/>
      <c r="R63" s="125"/>
      <c r="S63" s="171" t="s">
        <v>140</v>
      </c>
      <c r="T63" s="172">
        <v>2000</v>
      </c>
      <c r="U63" s="125" t="s">
        <v>141</v>
      </c>
    </row>
    <row r="64" spans="1:21" ht="14.25" customHeight="1">
      <c r="A64" s="125"/>
      <c r="B64" s="125"/>
      <c r="C64" s="125"/>
      <c r="D64" s="125"/>
      <c r="E64" s="125"/>
      <c r="F64" s="125"/>
      <c r="L64" s="125"/>
      <c r="M64" s="125"/>
      <c r="N64" s="125"/>
      <c r="O64" s="125"/>
      <c r="P64" s="125"/>
      <c r="Q64" s="125"/>
      <c r="R64" s="125"/>
      <c r="S64" s="125"/>
      <c r="T64" s="125"/>
      <c r="U64" s="125"/>
    </row>
    <row r="65" spans="1:21" ht="14.25" customHeight="1">
      <c r="A65" s="159"/>
      <c r="B65" s="174">
        <f>(B62*E62*H62+M62*O62*R62/1000000)/2000</f>
        <v>1.3307727355109997</v>
      </c>
      <c r="C65" s="174"/>
      <c r="D65" s="125" t="s">
        <v>142</v>
      </c>
      <c r="E65" s="159" t="s">
        <v>86</v>
      </c>
      <c r="F65" s="132">
        <f>B65*(2000/8760)</f>
        <v>0.303829391669178</v>
      </c>
      <c r="G65" s="125" t="s">
        <v>143</v>
      </c>
      <c r="L65" s="125" t="s">
        <v>143</v>
      </c>
      <c r="N65" s="125"/>
      <c r="O65" s="125"/>
      <c r="P65" s="125"/>
      <c r="Q65" s="125"/>
      <c r="R65" s="125"/>
      <c r="S65" s="125"/>
      <c r="T65" s="125"/>
      <c r="U65" s="125"/>
    </row>
    <row r="66" spans="1:21" ht="14.25" customHeight="1">
      <c r="A66" s="125"/>
      <c r="B66" s="125"/>
      <c r="C66" s="125"/>
      <c r="D66" s="125"/>
      <c r="E66" s="125"/>
      <c r="F66" s="125"/>
      <c r="L66" s="125"/>
      <c r="M66" s="125"/>
      <c r="N66" s="125"/>
      <c r="O66" s="125"/>
      <c r="P66" s="125"/>
      <c r="Q66" s="125"/>
      <c r="R66" s="125"/>
      <c r="S66" s="125"/>
      <c r="T66" s="125"/>
      <c r="U66" s="125"/>
    </row>
    <row r="67" spans="1:21" ht="14.25" customHeight="1">
      <c r="A67" s="125"/>
      <c r="B67" s="125"/>
      <c r="C67" s="125"/>
      <c r="D67" s="125"/>
      <c r="E67" s="125"/>
      <c r="F67" s="125"/>
      <c r="L67" s="125"/>
      <c r="M67" s="125"/>
      <c r="N67" s="125"/>
      <c r="O67" s="125"/>
      <c r="P67" s="125"/>
      <c r="Q67" s="125"/>
      <c r="R67" s="125"/>
      <c r="S67" s="125"/>
      <c r="T67" s="125"/>
      <c r="U67" s="125"/>
    </row>
    <row r="68" spans="1:21" ht="14.25" customHeight="1">
      <c r="A68" s="159" t="s">
        <v>152</v>
      </c>
      <c r="B68" s="160">
        <f>B16</f>
        <v>490512.54</v>
      </c>
      <c r="C68" s="161"/>
      <c r="D68" s="162" t="s">
        <v>133</v>
      </c>
      <c r="E68" s="163">
        <v>0.15</v>
      </c>
      <c r="F68" s="164" t="s">
        <v>134</v>
      </c>
      <c r="G68" s="576" t="s">
        <v>135</v>
      </c>
      <c r="H68" s="181">
        <f>C12</f>
        <v>4.6299999999999997E-6</v>
      </c>
      <c r="I68" s="166" t="s">
        <v>136</v>
      </c>
      <c r="J68" s="165">
        <v>1</v>
      </c>
      <c r="K68" s="165" t="s">
        <v>90</v>
      </c>
      <c r="L68" s="167" t="s">
        <v>137</v>
      </c>
      <c r="M68" s="168">
        <f>B17</f>
        <v>2234892060</v>
      </c>
      <c r="N68" s="162" t="s">
        <v>138</v>
      </c>
      <c r="O68" s="161">
        <v>1040</v>
      </c>
      <c r="P68" s="162" t="s">
        <v>139</v>
      </c>
      <c r="Q68" s="113" t="s">
        <v>135</v>
      </c>
      <c r="R68" s="165">
        <f>B12</f>
        <v>0</v>
      </c>
      <c r="S68" s="166" t="s">
        <v>136</v>
      </c>
      <c r="T68" s="165">
        <v>1</v>
      </c>
      <c r="U68" s="165" t="s">
        <v>90</v>
      </c>
    </row>
    <row r="69" spans="1:21" ht="14.25" customHeight="1">
      <c r="A69" s="107"/>
      <c r="B69" s="113"/>
      <c r="C69" s="107"/>
      <c r="D69" s="169" t="s">
        <v>59</v>
      </c>
      <c r="E69" s="107"/>
      <c r="F69" s="170" t="s">
        <v>88</v>
      </c>
      <c r="G69" s="576"/>
      <c r="H69" s="125"/>
      <c r="I69" s="171" t="s">
        <v>140</v>
      </c>
      <c r="J69" s="172">
        <v>2000</v>
      </c>
      <c r="K69" s="125" t="s">
        <v>141</v>
      </c>
      <c r="L69" s="107"/>
      <c r="M69" s="107"/>
      <c r="N69" s="169" t="s">
        <v>59</v>
      </c>
      <c r="O69" s="179">
        <v>1000000</v>
      </c>
      <c r="P69" s="169" t="s">
        <v>68</v>
      </c>
      <c r="Q69" s="113"/>
      <c r="R69" s="125"/>
      <c r="S69" s="171" t="s">
        <v>140</v>
      </c>
      <c r="T69" s="172">
        <v>2000</v>
      </c>
      <c r="U69" s="125" t="s">
        <v>141</v>
      </c>
    </row>
    <row r="70" spans="1:21" ht="14.25" customHeight="1">
      <c r="A70" s="125"/>
      <c r="B70" s="125"/>
      <c r="C70" s="125"/>
      <c r="D70" s="125"/>
      <c r="E70" s="125"/>
      <c r="F70" s="125"/>
      <c r="G70" s="125"/>
      <c r="H70" s="125"/>
      <c r="I70" s="125"/>
      <c r="J70" s="125"/>
      <c r="K70" s="125"/>
      <c r="L70" s="125"/>
      <c r="M70" s="125"/>
      <c r="N70" s="125"/>
      <c r="O70" s="125"/>
      <c r="P70" s="125"/>
    </row>
    <row r="71" spans="1:21" ht="14.25" customHeight="1">
      <c r="A71" s="159"/>
      <c r="B71" s="174">
        <f>(B68*E68*H68+M68*O68*R68/1000000)/2000</f>
        <v>1.7033047951499998E-4</v>
      </c>
      <c r="C71" s="174"/>
      <c r="D71" s="125" t="s">
        <v>142</v>
      </c>
      <c r="E71" s="159" t="s">
        <v>86</v>
      </c>
      <c r="F71" s="132">
        <f>B71*(2000/8760)</f>
        <v>3.8888237332191773E-5</v>
      </c>
      <c r="G71" s="125" t="s">
        <v>143</v>
      </c>
      <c r="I71" s="125"/>
      <c r="J71" s="125"/>
      <c r="K71" s="125"/>
      <c r="L71" s="125"/>
      <c r="M71" s="125"/>
      <c r="N71" s="125"/>
      <c r="O71" s="125"/>
      <c r="P71" s="125"/>
    </row>
    <row r="72" spans="1:21"/>
    <row r="73" spans="1:21"/>
    <row r="74" spans="1:21" ht="14.25" customHeight="1">
      <c r="A74" s="159" t="s">
        <v>153</v>
      </c>
      <c r="B74" s="160">
        <f>B16</f>
        <v>490512.54</v>
      </c>
      <c r="C74" s="161"/>
      <c r="D74" s="162" t="s">
        <v>133</v>
      </c>
      <c r="E74" s="182">
        <f>W11</f>
        <v>25.617688884503689</v>
      </c>
      <c r="F74" s="164" t="s">
        <v>141</v>
      </c>
      <c r="G74" s="576" t="s">
        <v>135</v>
      </c>
      <c r="H74" s="165">
        <v>1</v>
      </c>
      <c r="I74" s="165" t="s">
        <v>90</v>
      </c>
      <c r="J74" s="167" t="s">
        <v>137</v>
      </c>
      <c r="M74" s="168">
        <f>B17</f>
        <v>2234892060</v>
      </c>
      <c r="N74" s="162" t="s">
        <v>138</v>
      </c>
      <c r="O74" s="183">
        <f>W12</f>
        <v>0.12049378268189943</v>
      </c>
      <c r="P74" s="162" t="s">
        <v>141</v>
      </c>
      <c r="Q74" s="113" t="s">
        <v>135</v>
      </c>
      <c r="R74" s="165">
        <v>1</v>
      </c>
      <c r="S74" s="165" t="s">
        <v>90</v>
      </c>
    </row>
    <row r="75" spans="1:21" ht="14.25" customHeight="1">
      <c r="A75" s="107"/>
      <c r="B75" s="113"/>
      <c r="C75" s="107"/>
      <c r="D75" s="169" t="s">
        <v>59</v>
      </c>
      <c r="E75" s="107"/>
      <c r="F75" s="170" t="s">
        <v>88</v>
      </c>
      <c r="G75" s="576"/>
      <c r="H75" s="172">
        <v>2000</v>
      </c>
      <c r="I75" s="125" t="s">
        <v>141</v>
      </c>
      <c r="J75" s="107"/>
      <c r="M75" s="107"/>
      <c r="N75" s="169" t="s">
        <v>59</v>
      </c>
      <c r="O75" s="179"/>
      <c r="P75" s="169" t="s">
        <v>68</v>
      </c>
      <c r="Q75" s="113"/>
      <c r="R75" s="172">
        <v>2000</v>
      </c>
      <c r="S75" s="125" t="s">
        <v>141</v>
      </c>
    </row>
    <row r="76" spans="1:21" ht="14.25" customHeight="1">
      <c r="A76" s="125"/>
      <c r="B76" s="125"/>
      <c r="C76" s="125"/>
      <c r="D76" s="125"/>
      <c r="E76" s="125"/>
      <c r="F76" s="125"/>
      <c r="L76" s="125"/>
      <c r="M76" s="125"/>
      <c r="N76" s="125"/>
      <c r="O76" s="125"/>
      <c r="P76" s="125"/>
      <c r="Q76" s="125"/>
      <c r="R76" s="125"/>
      <c r="S76" s="125"/>
      <c r="T76" s="125"/>
      <c r="U76" s="125"/>
    </row>
    <row r="77" spans="1:21" ht="14.25" customHeight="1">
      <c r="A77" s="159"/>
      <c r="B77" s="174">
        <f>(B74*E74+M74*O74)/H75</f>
        <v>140928.19791940512</v>
      </c>
      <c r="C77" s="174"/>
      <c r="D77" s="125" t="s">
        <v>142</v>
      </c>
      <c r="E77" s="159" t="s">
        <v>86</v>
      </c>
      <c r="F77" s="132">
        <f>B77*(2000/8760)</f>
        <v>32175.387652832218</v>
      </c>
      <c r="G77" s="125" t="s">
        <v>143</v>
      </c>
      <c r="L77" s="125"/>
      <c r="N77" s="125"/>
      <c r="O77" s="125"/>
      <c r="P77" s="125"/>
      <c r="Q77" s="125"/>
      <c r="R77" s="125"/>
      <c r="S77" s="125"/>
      <c r="T77" s="125"/>
      <c r="U77" s="125"/>
    </row>
    <row r="78" spans="1:21" ht="14.25" customHeight="1">
      <c r="A78" s="125"/>
      <c r="B78" s="125"/>
      <c r="C78" s="125"/>
      <c r="D78" s="125"/>
      <c r="E78" s="125"/>
      <c r="F78" s="125"/>
      <c r="L78" s="125"/>
      <c r="M78" s="125"/>
      <c r="N78" s="125"/>
      <c r="O78" s="125"/>
      <c r="P78" s="125"/>
      <c r="Q78" s="125"/>
      <c r="R78" s="125"/>
      <c r="S78" s="125"/>
      <c r="T78" s="125"/>
      <c r="U78" s="125"/>
    </row>
    <row r="79" spans="1:21" ht="14.25" customHeight="1">
      <c r="A79" s="125"/>
      <c r="B79" s="125"/>
      <c r="C79" s="125"/>
      <c r="D79" s="125"/>
      <c r="E79" s="125"/>
      <c r="F79" s="125"/>
      <c r="L79" s="125"/>
      <c r="M79" s="125"/>
      <c r="N79" s="125"/>
      <c r="O79" s="125"/>
      <c r="P79" s="125"/>
      <c r="Q79" s="125"/>
      <c r="R79" s="125"/>
      <c r="S79" s="125"/>
      <c r="T79" s="125"/>
      <c r="U79" s="125"/>
    </row>
    <row r="80" spans="1:21" ht="14.25" customHeight="1">
      <c r="A80" s="85"/>
      <c r="B80" s="81" t="s">
        <v>154</v>
      </c>
      <c r="C80" s="81"/>
      <c r="D80" s="81"/>
      <c r="E80" s="81"/>
      <c r="F80" s="81"/>
      <c r="G80" s="81"/>
      <c r="H80" s="81"/>
      <c r="I80" s="81"/>
      <c r="J80" s="81"/>
      <c r="K80" s="85"/>
      <c r="L80" s="85"/>
      <c r="M80" s="85"/>
      <c r="N80" s="85"/>
      <c r="O80" s="85"/>
      <c r="P80" s="85"/>
    </row>
    <row r="81" spans="2:10" ht="14.25" customHeight="1">
      <c r="B81" s="81" t="s">
        <v>155</v>
      </c>
      <c r="C81" s="81"/>
      <c r="D81" s="81"/>
      <c r="E81" s="81"/>
      <c r="F81" s="81"/>
      <c r="G81" s="81"/>
      <c r="H81" s="81"/>
      <c r="I81" s="81"/>
      <c r="J81" s="81"/>
    </row>
    <row r="82" spans="2:10" ht="14.25" customHeight="1">
      <c r="B82" s="81" t="s">
        <v>156</v>
      </c>
      <c r="C82" s="81"/>
      <c r="D82" s="81"/>
      <c r="E82" s="81"/>
      <c r="F82" s="81"/>
      <c r="G82" s="81"/>
      <c r="H82" s="81"/>
      <c r="I82" s="81"/>
      <c r="J82" s="81"/>
    </row>
    <row r="83" spans="2:10" ht="14.25" customHeight="1">
      <c r="B83" s="81" t="s">
        <v>157</v>
      </c>
      <c r="C83" s="81"/>
      <c r="D83" s="85"/>
      <c r="E83" s="85"/>
      <c r="F83" s="85"/>
      <c r="G83" s="85"/>
      <c r="H83" s="85"/>
      <c r="I83" s="85"/>
      <c r="J83" s="85"/>
    </row>
  </sheetData>
  <mergeCells count="13">
    <mergeCell ref="A1:P1"/>
    <mergeCell ref="F6:N6"/>
    <mergeCell ref="G20:G21"/>
    <mergeCell ref="Q20:Q21"/>
    <mergeCell ref="G26:G27"/>
    <mergeCell ref="G62:G63"/>
    <mergeCell ref="G68:G69"/>
    <mergeCell ref="G74:G75"/>
    <mergeCell ref="G32:G33"/>
    <mergeCell ref="G38:G39"/>
    <mergeCell ref="G44:G45"/>
    <mergeCell ref="G50:G51"/>
    <mergeCell ref="G56:G57"/>
  </mergeCells>
  <pageMargins left="0.7" right="0.7" top="0.75" bottom="0.75" header="0.511811023622047" footer="0.511811023622047"/>
  <pageSetup paperSize="9" orientation="portrait" horizontalDpi="300" verticalDpi="300"/>
  <legacyDrawing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X83"/>
  <sheetViews>
    <sheetView topLeftCell="A15" zoomScaleNormal="100" workbookViewId="0">
      <selection activeCell="A17" sqref="A17"/>
    </sheetView>
  </sheetViews>
  <sheetFormatPr defaultColWidth="8.7109375" defaultRowHeight="15"/>
  <cols>
    <col min="1" max="2" width="18.28515625" customWidth="1"/>
    <col min="3" max="3" width="16.5703125" customWidth="1"/>
    <col min="4" max="4" width="12.42578125" customWidth="1"/>
    <col min="5" max="5" width="11.5703125" customWidth="1"/>
    <col min="6" max="6" width="13.5703125" customWidth="1"/>
    <col min="7" max="7" width="4.85546875" customWidth="1"/>
    <col min="8" max="8" width="8.42578125" customWidth="1"/>
    <col min="9" max="9" width="8.28515625" customWidth="1"/>
    <col min="10" max="10" width="5.5703125" customWidth="1"/>
    <col min="11" max="11" width="3.42578125" customWidth="1"/>
    <col min="12" max="12" width="4.5703125" customWidth="1"/>
    <col min="13" max="13" width="12.7109375" customWidth="1"/>
    <col min="14" max="14" width="8.5703125" customWidth="1"/>
    <col min="15" max="15" width="9.140625" customWidth="1"/>
    <col min="16" max="16" width="8.28515625" customWidth="1"/>
    <col min="17" max="17" width="1.7109375" customWidth="1"/>
    <col min="18" max="18" width="8" customWidth="1"/>
    <col min="19" max="19" width="8.28515625" customWidth="1"/>
    <col min="20" max="20" width="5.5703125" customWidth="1"/>
    <col min="21" max="21" width="3.42578125" customWidth="1"/>
  </cols>
  <sheetData>
    <row r="1" spans="1:24" ht="14.25" customHeight="1">
      <c r="A1" s="578" t="s">
        <v>158</v>
      </c>
      <c r="B1" s="578"/>
      <c r="C1" s="578"/>
      <c r="D1" s="578"/>
      <c r="E1" s="578"/>
      <c r="F1" s="578"/>
      <c r="G1" s="578"/>
      <c r="H1" s="578"/>
      <c r="I1" s="578"/>
      <c r="J1" s="578"/>
      <c r="K1" s="578"/>
      <c r="L1" s="578"/>
      <c r="M1" s="578"/>
      <c r="N1" s="578"/>
      <c r="O1" s="578"/>
      <c r="P1" s="578"/>
    </row>
    <row r="2" spans="1:24" ht="14.25" customHeight="1">
      <c r="A2" s="125"/>
      <c r="B2" s="125"/>
      <c r="C2" s="125"/>
      <c r="D2" s="125"/>
      <c r="E2" s="125"/>
      <c r="F2" s="125"/>
      <c r="G2" s="125"/>
      <c r="H2" s="125"/>
      <c r="I2" s="125"/>
      <c r="J2" s="125"/>
      <c r="K2" s="125"/>
      <c r="L2" s="125"/>
      <c r="M2" s="125"/>
      <c r="N2" s="125"/>
      <c r="O2" s="125"/>
      <c r="P2" s="125"/>
    </row>
    <row r="3" spans="1:24" ht="30" customHeight="1">
      <c r="A3" s="126" t="s">
        <v>110</v>
      </c>
      <c r="B3" s="127" t="s">
        <v>111</v>
      </c>
      <c r="C3" s="127" t="s">
        <v>112</v>
      </c>
      <c r="D3" s="128" t="s">
        <v>113</v>
      </c>
      <c r="E3" s="128" t="s">
        <v>114</v>
      </c>
      <c r="M3" s="125"/>
      <c r="N3" s="125"/>
      <c r="O3" s="125"/>
      <c r="P3" s="125"/>
    </row>
    <row r="4" spans="1:24" ht="14.25" customHeight="1">
      <c r="A4" s="129" t="s">
        <v>14</v>
      </c>
      <c r="B4" s="130">
        <v>0.35</v>
      </c>
      <c r="C4" s="130">
        <v>0.35</v>
      </c>
      <c r="D4" s="111">
        <f>B23</f>
        <v>404.93599283969996</v>
      </c>
      <c r="E4" s="131">
        <f>F23</f>
        <v>92.45113991773971</v>
      </c>
      <c r="J4" s="132"/>
      <c r="K4" s="133"/>
      <c r="L4" s="133"/>
      <c r="M4" s="125"/>
      <c r="N4" s="125"/>
      <c r="O4" s="125"/>
      <c r="P4" s="125"/>
    </row>
    <row r="5" spans="1:24" ht="14.25" customHeight="1">
      <c r="A5" s="134" t="s">
        <v>15</v>
      </c>
      <c r="B5" s="135">
        <v>8.9999999999999993E-3</v>
      </c>
      <c r="C5" s="136">
        <v>3.8E-3</v>
      </c>
      <c r="D5" s="137">
        <f>B29</f>
        <v>9.711376798877998</v>
      </c>
      <c r="E5" s="138">
        <f>F29</f>
        <v>2.2172093148123282</v>
      </c>
      <c r="F5" s="125"/>
      <c r="G5" s="125"/>
      <c r="H5" s="125"/>
      <c r="I5" s="125"/>
      <c r="J5" s="125"/>
      <c r="K5" s="125"/>
      <c r="L5" s="125"/>
      <c r="M5" s="125"/>
      <c r="N5" s="125"/>
      <c r="O5" s="125"/>
      <c r="P5" s="125"/>
    </row>
    <row r="6" spans="1:24" ht="14.25" customHeight="1">
      <c r="A6" s="134" t="s">
        <v>16</v>
      </c>
      <c r="B6" s="135">
        <v>8.0000000000000004E-4</v>
      </c>
      <c r="C6" s="135">
        <v>1.2999999999999999E-3</v>
      </c>
      <c r="D6" s="137">
        <f>B35</f>
        <v>0.99299711988359995</v>
      </c>
      <c r="E6" s="138">
        <f>F35</f>
        <v>0.22671167120630134</v>
      </c>
      <c r="F6" s="579" t="s">
        <v>115</v>
      </c>
      <c r="G6" s="579"/>
      <c r="H6" s="579"/>
      <c r="I6" s="579"/>
      <c r="J6" s="579"/>
      <c r="K6" s="579"/>
      <c r="L6" s="579"/>
      <c r="M6" s="579"/>
      <c r="N6" s="579"/>
      <c r="O6" s="139"/>
      <c r="P6" s="139"/>
    </row>
    <row r="7" spans="1:24" ht="14.25" customHeight="1">
      <c r="A7" s="134" t="s">
        <v>11</v>
      </c>
      <c r="B7" s="135">
        <v>5.0000000000000001E-3</v>
      </c>
      <c r="C7" s="136">
        <v>2.75E-2</v>
      </c>
      <c r="D7" s="137">
        <f>B41</f>
        <v>8.8191110289600001</v>
      </c>
      <c r="E7" s="138">
        <f>F41</f>
        <v>2.0134956687123289</v>
      </c>
      <c r="F7" s="140" t="s">
        <v>116</v>
      </c>
      <c r="G7" s="141" t="s">
        <v>117</v>
      </c>
      <c r="I7" s="141"/>
      <c r="J7" s="141"/>
      <c r="K7" s="141"/>
      <c r="L7" s="141"/>
      <c r="M7" s="141"/>
      <c r="N7" s="141"/>
      <c r="O7" s="141"/>
      <c r="P7" s="141"/>
    </row>
    <row r="8" spans="1:24" ht="14.25" customHeight="1">
      <c r="A8" s="134" t="s">
        <v>12</v>
      </c>
      <c r="B8" s="135">
        <v>8.0999999999999996E-3</v>
      </c>
      <c r="C8" s="136">
        <v>0.04</v>
      </c>
      <c r="D8" s="137">
        <f>B47</f>
        <v>13.673354727040198</v>
      </c>
      <c r="E8" s="142">
        <f>F47</f>
        <v>3.1217704856256159</v>
      </c>
      <c r="F8" s="143"/>
      <c r="G8" s="141" t="s">
        <v>118</v>
      </c>
      <c r="H8" s="141"/>
      <c r="I8" s="141"/>
      <c r="J8" s="141"/>
      <c r="K8" s="141"/>
      <c r="L8" s="141"/>
      <c r="M8" s="141"/>
      <c r="N8" s="141"/>
      <c r="O8" s="141"/>
    </row>
    <row r="9" spans="1:24" ht="14.25" customHeight="1">
      <c r="A9" s="134" t="s">
        <v>34</v>
      </c>
      <c r="B9" s="135">
        <v>7.4999999999999997E-3</v>
      </c>
      <c r="C9" s="136">
        <v>3.3000000000000002E-2</v>
      </c>
      <c r="D9" s="137">
        <f>B53</f>
        <v>12.116085795315</v>
      </c>
      <c r="E9" s="138">
        <f>F53</f>
        <v>2.7662296336335612</v>
      </c>
      <c r="F9" s="107"/>
      <c r="G9" s="141" t="s">
        <v>119</v>
      </c>
      <c r="H9" s="141"/>
      <c r="I9" s="141"/>
      <c r="J9" s="141"/>
      <c r="K9" s="141"/>
      <c r="L9" s="141"/>
      <c r="M9" s="141"/>
      <c r="N9" s="141"/>
      <c r="O9" s="141"/>
    </row>
    <row r="10" spans="1:24" ht="14.25" customHeight="1">
      <c r="A10" s="134" t="s">
        <v>13</v>
      </c>
      <c r="B10" s="135">
        <v>4.0000000000000001E-3</v>
      </c>
      <c r="C10" s="136" t="s">
        <v>120</v>
      </c>
      <c r="D10" s="137">
        <f>B59</f>
        <v>70.429686346667992</v>
      </c>
      <c r="E10" s="138">
        <f>F59</f>
        <v>16.079837065449311</v>
      </c>
      <c r="F10" s="107"/>
      <c r="G10" s="107"/>
      <c r="H10" s="143"/>
      <c r="I10" s="143"/>
      <c r="J10" s="143"/>
      <c r="K10" s="143"/>
      <c r="L10" s="143"/>
      <c r="M10" s="143"/>
      <c r="N10" s="143"/>
      <c r="O10" s="143"/>
      <c r="P10" s="143"/>
    </row>
    <row r="11" spans="1:24" ht="14.25" customHeight="1">
      <c r="A11" s="134" t="s">
        <v>36</v>
      </c>
      <c r="B11" s="135">
        <v>4.2999999999999999E-4</v>
      </c>
      <c r="C11" s="136">
        <v>2.2589999999999999E-2</v>
      </c>
      <c r="D11" s="137">
        <f>B65</f>
        <v>3.4859521098030597</v>
      </c>
      <c r="E11" s="138">
        <f>F65</f>
        <v>0.79587947712398621</v>
      </c>
      <c r="F11" s="144" t="s">
        <v>121</v>
      </c>
      <c r="G11" s="141" t="s">
        <v>122</v>
      </c>
      <c r="H11" s="141"/>
      <c r="I11" s="141"/>
      <c r="J11" s="141"/>
      <c r="K11" s="141"/>
      <c r="L11" s="141"/>
      <c r="N11" s="143"/>
      <c r="O11" s="143"/>
      <c r="P11" s="143"/>
      <c r="V11" t="s">
        <v>18</v>
      </c>
      <c r="W11">
        <f>(157765.7+153.2+365.3)*2204.6/13621578</f>
        <v>25.617688884503689</v>
      </c>
      <c r="X11" t="s">
        <v>123</v>
      </c>
    </row>
    <row r="12" spans="1:24" ht="14.25" customHeight="1">
      <c r="A12" s="134" t="s">
        <v>17</v>
      </c>
      <c r="B12" s="135">
        <v>0</v>
      </c>
      <c r="C12" s="145">
        <v>4.6299999999999997E-6</v>
      </c>
      <c r="D12" s="137">
        <f>B71</f>
        <v>6.2439380167499993E-4</v>
      </c>
      <c r="E12" s="138">
        <f>F71</f>
        <v>1.4255566248287668E-4</v>
      </c>
      <c r="F12" s="125"/>
      <c r="G12" s="125"/>
      <c r="H12" s="125"/>
      <c r="I12" s="125"/>
      <c r="J12" s="125"/>
      <c r="K12" s="125"/>
      <c r="L12" s="125"/>
      <c r="M12" s="125"/>
      <c r="N12" s="125"/>
      <c r="O12" s="125"/>
      <c r="P12" s="125"/>
      <c r="W12">
        <f>(989989.8+466.4+556)*2204.62/18132099995</f>
        <v>0.12049378268189943</v>
      </c>
      <c r="X12" t="s">
        <v>124</v>
      </c>
    </row>
    <row r="13" spans="1:24" ht="14.25" customHeight="1">
      <c r="A13" s="134" t="s">
        <v>18</v>
      </c>
      <c r="B13" s="135" t="s">
        <v>125</v>
      </c>
      <c r="C13" s="135" t="s">
        <v>126</v>
      </c>
      <c r="D13" s="146">
        <f>B77</f>
        <v>141451.81220647731</v>
      </c>
      <c r="E13" s="147">
        <f>F77</f>
        <v>32294.934293716276</v>
      </c>
      <c r="F13" s="125"/>
      <c r="G13" s="125"/>
      <c r="H13" s="125"/>
      <c r="I13" s="125"/>
      <c r="J13" s="125"/>
      <c r="K13" s="125"/>
      <c r="L13" s="125"/>
      <c r="M13" s="125"/>
      <c r="N13" s="125"/>
      <c r="O13" s="125"/>
      <c r="P13" s="125"/>
    </row>
    <row r="14" spans="1:24" ht="14.25" customHeight="1">
      <c r="A14" s="148" t="s">
        <v>37</v>
      </c>
      <c r="B14" s="149">
        <v>0</v>
      </c>
      <c r="C14" s="150">
        <v>0</v>
      </c>
      <c r="D14" s="151">
        <v>0</v>
      </c>
      <c r="E14" s="152">
        <v>0</v>
      </c>
      <c r="F14" s="125"/>
      <c r="G14" s="125"/>
      <c r="H14" s="125"/>
      <c r="I14" s="125"/>
      <c r="J14" s="125"/>
      <c r="K14" s="125"/>
      <c r="L14" s="125"/>
      <c r="M14" s="125"/>
      <c r="N14" s="125"/>
      <c r="O14" s="125"/>
      <c r="P14" s="125"/>
    </row>
    <row r="15" spans="1:24" ht="14.25" customHeight="1">
      <c r="A15" s="153"/>
      <c r="B15" s="153"/>
      <c r="C15" s="153"/>
      <c r="D15" s="153"/>
      <c r="E15" s="132"/>
      <c r="H15" s="125"/>
      <c r="I15" s="125"/>
      <c r="J15" s="125"/>
      <c r="K15" s="125"/>
      <c r="L15" s="125"/>
      <c r="M15" s="125"/>
      <c r="N15" s="125"/>
      <c r="O15" s="125"/>
      <c r="P15" s="125"/>
    </row>
    <row r="16" spans="1:24" ht="14.25" customHeight="1">
      <c r="A16" s="154" t="s">
        <v>127</v>
      </c>
      <c r="B16" s="155">
        <f>'Costa Sur'!E10</f>
        <v>1798110.3</v>
      </c>
      <c r="C16" s="155"/>
      <c r="D16" s="156" t="s">
        <v>83</v>
      </c>
      <c r="H16" s="125"/>
      <c r="I16" s="125"/>
      <c r="J16" s="125"/>
      <c r="K16" s="125"/>
      <c r="L16" s="125"/>
      <c r="M16" s="125"/>
      <c r="N16" s="125"/>
      <c r="O16" s="125"/>
      <c r="P16" s="125"/>
    </row>
    <row r="17" spans="1:21" ht="14.25" customHeight="1">
      <c r="A17" s="116" t="s">
        <v>128</v>
      </c>
      <c r="B17" s="157">
        <f>'Costa Sur'!C47</f>
        <v>1965580205.8499999</v>
      </c>
      <c r="C17" s="157"/>
      <c r="D17" s="133" t="s">
        <v>129</v>
      </c>
      <c r="F17" s="125"/>
      <c r="G17" s="125"/>
      <c r="H17" s="125"/>
      <c r="I17" s="125"/>
      <c r="J17" s="125"/>
      <c r="K17" s="125"/>
      <c r="L17" s="125"/>
      <c r="M17" s="125"/>
      <c r="N17" s="125"/>
      <c r="O17" s="125"/>
      <c r="P17" s="125"/>
    </row>
    <row r="18" spans="1:21" ht="14.25" customHeight="1">
      <c r="A18" s="87" t="s">
        <v>130</v>
      </c>
      <c r="B18" s="158">
        <f>'Costa Sur'!I10</f>
        <v>0.47</v>
      </c>
      <c r="D18" t="s">
        <v>131</v>
      </c>
      <c r="M18" s="125"/>
      <c r="N18" s="125"/>
      <c r="O18" s="125"/>
      <c r="P18" s="125"/>
    </row>
    <row r="19" spans="1:21" ht="14.25" customHeight="1">
      <c r="A19" s="125"/>
      <c r="B19" s="125"/>
      <c r="C19" s="125"/>
      <c r="D19" s="125"/>
      <c r="E19" s="125"/>
      <c r="F19" s="125"/>
      <c r="G19" s="125"/>
      <c r="H19" s="125"/>
      <c r="I19" s="125"/>
      <c r="J19" s="125"/>
      <c r="K19" s="125"/>
      <c r="L19" s="125"/>
      <c r="M19" s="125"/>
      <c r="N19" s="125"/>
      <c r="O19" s="125"/>
      <c r="P19" s="125"/>
    </row>
    <row r="20" spans="1:21" ht="14.25" customHeight="1">
      <c r="A20" s="159" t="s">
        <v>132</v>
      </c>
      <c r="B20" s="160">
        <f>B16</f>
        <v>1798110.3</v>
      </c>
      <c r="C20" s="161"/>
      <c r="D20" s="162" t="s">
        <v>133</v>
      </c>
      <c r="E20" s="163">
        <v>0.15</v>
      </c>
      <c r="F20" s="164" t="s">
        <v>134</v>
      </c>
      <c r="G20" s="576" t="s">
        <v>135</v>
      </c>
      <c r="H20" s="165">
        <f>C4</f>
        <v>0.35</v>
      </c>
      <c r="I20" s="166" t="s">
        <v>136</v>
      </c>
      <c r="J20" s="165">
        <v>1</v>
      </c>
      <c r="K20" s="165" t="s">
        <v>90</v>
      </c>
      <c r="L20" s="167" t="s">
        <v>137</v>
      </c>
      <c r="M20" s="168">
        <f>B17</f>
        <v>1965580205.8499999</v>
      </c>
      <c r="N20" s="164" t="s">
        <v>138</v>
      </c>
      <c r="O20" s="160">
        <v>1040</v>
      </c>
      <c r="P20" s="162" t="s">
        <v>139</v>
      </c>
      <c r="Q20" s="576" t="s">
        <v>135</v>
      </c>
      <c r="R20" s="165">
        <f>B4</f>
        <v>0.35</v>
      </c>
      <c r="S20" s="166" t="s">
        <v>136</v>
      </c>
      <c r="T20" s="165">
        <v>1</v>
      </c>
      <c r="U20" s="165" t="s">
        <v>90</v>
      </c>
    </row>
    <row r="21" spans="1:21" ht="14.25" customHeight="1">
      <c r="A21" s="107"/>
      <c r="B21" s="113"/>
      <c r="C21" s="107"/>
      <c r="D21" s="169" t="s">
        <v>59</v>
      </c>
      <c r="E21" s="107"/>
      <c r="F21" s="170" t="s">
        <v>88</v>
      </c>
      <c r="G21" s="576"/>
      <c r="H21" s="125"/>
      <c r="I21" s="171" t="s">
        <v>140</v>
      </c>
      <c r="J21" s="172">
        <v>2000</v>
      </c>
      <c r="K21" s="125" t="s">
        <v>141</v>
      </c>
      <c r="L21" s="107"/>
      <c r="M21" s="107"/>
      <c r="N21" s="170" t="s">
        <v>59</v>
      </c>
      <c r="O21" s="173">
        <v>1000000</v>
      </c>
      <c r="P21" s="169" t="s">
        <v>68</v>
      </c>
      <c r="Q21" s="576"/>
      <c r="R21" s="125"/>
      <c r="S21" s="171" t="s">
        <v>140</v>
      </c>
      <c r="T21" s="172">
        <v>2000</v>
      </c>
      <c r="U21" s="125" t="s">
        <v>141</v>
      </c>
    </row>
    <row r="22" spans="1:21" ht="14.25" customHeight="1">
      <c r="A22" s="125"/>
      <c r="B22" s="125"/>
      <c r="C22" s="125"/>
      <c r="D22" s="125"/>
      <c r="E22" s="125"/>
      <c r="F22" s="125"/>
      <c r="G22" s="125"/>
      <c r="H22" s="125"/>
      <c r="I22" s="125"/>
      <c r="J22" s="125"/>
      <c r="K22" s="125"/>
      <c r="L22" s="125"/>
      <c r="M22" s="125"/>
      <c r="N22" s="125"/>
      <c r="O22" s="125"/>
      <c r="P22" s="125"/>
    </row>
    <row r="23" spans="1:21" ht="14.25" customHeight="1">
      <c r="A23" s="159"/>
      <c r="B23" s="174">
        <f>(B20*E20*H20+M20*O20*R20/1000000)/2000</f>
        <v>404.93599283969996</v>
      </c>
      <c r="C23" s="174"/>
      <c r="D23" s="125" t="s">
        <v>142</v>
      </c>
      <c r="E23" s="159" t="s">
        <v>86</v>
      </c>
      <c r="F23" s="132">
        <f>B23*(2000/8760)</f>
        <v>92.45113991773971</v>
      </c>
      <c r="G23" s="125" t="s">
        <v>143</v>
      </c>
      <c r="H23" s="175"/>
      <c r="I23" s="125"/>
      <c r="J23" s="125"/>
      <c r="K23" s="125"/>
      <c r="L23" s="125"/>
      <c r="M23" s="125"/>
      <c r="N23" s="125"/>
      <c r="O23" s="125"/>
      <c r="P23" s="125"/>
    </row>
    <row r="24" spans="1:21" ht="14.25" customHeight="1">
      <c r="A24" s="125"/>
      <c r="B24" s="125"/>
      <c r="C24" s="125"/>
      <c r="D24" s="125"/>
      <c r="E24" s="125"/>
      <c r="F24" s="125"/>
      <c r="G24" s="125"/>
      <c r="H24" s="176"/>
      <c r="I24" s="176"/>
      <c r="J24" s="176"/>
      <c r="K24" s="125"/>
      <c r="L24" s="125"/>
      <c r="M24" s="125"/>
      <c r="N24" s="125"/>
      <c r="O24" s="125"/>
      <c r="P24" s="125"/>
    </row>
    <row r="25" spans="1:21" ht="14.25" customHeight="1">
      <c r="A25" s="125"/>
      <c r="B25" s="125"/>
      <c r="C25" s="125"/>
      <c r="D25" s="125"/>
      <c r="E25" s="125"/>
      <c r="F25" s="125"/>
      <c r="G25" s="125"/>
      <c r="H25" s="125"/>
      <c r="I25" s="125"/>
      <c r="J25" s="125"/>
      <c r="K25" s="125"/>
      <c r="L25" s="125"/>
      <c r="M25" s="125"/>
      <c r="N25" s="125"/>
      <c r="O25" s="125"/>
      <c r="P25" s="125"/>
    </row>
    <row r="26" spans="1:21" ht="14.25" customHeight="1">
      <c r="A26" s="159" t="s">
        <v>144</v>
      </c>
      <c r="B26" s="160">
        <f>B16</f>
        <v>1798110.3</v>
      </c>
      <c r="C26" s="161"/>
      <c r="D26" s="162" t="s">
        <v>133</v>
      </c>
      <c r="E26" s="163">
        <v>0.15</v>
      </c>
      <c r="F26" s="164" t="s">
        <v>134</v>
      </c>
      <c r="G26" s="576" t="s">
        <v>135</v>
      </c>
      <c r="H26" s="165">
        <f>C5</f>
        <v>3.8E-3</v>
      </c>
      <c r="I26" s="166" t="s">
        <v>136</v>
      </c>
      <c r="J26" s="165">
        <v>1</v>
      </c>
      <c r="K26" s="165" t="s">
        <v>90</v>
      </c>
      <c r="L26" s="167" t="s">
        <v>137</v>
      </c>
      <c r="M26" s="168">
        <f>B17</f>
        <v>1965580205.8499999</v>
      </c>
      <c r="N26" s="162" t="s">
        <v>138</v>
      </c>
      <c r="O26" s="161">
        <v>1040</v>
      </c>
      <c r="P26" s="162" t="s">
        <v>139</v>
      </c>
      <c r="Q26" s="113" t="s">
        <v>135</v>
      </c>
      <c r="R26" s="165">
        <f>B5</f>
        <v>8.9999999999999993E-3</v>
      </c>
      <c r="S26" s="166" t="s">
        <v>136</v>
      </c>
      <c r="T26" s="177">
        <v>1</v>
      </c>
      <c r="U26" s="165" t="s">
        <v>90</v>
      </c>
    </row>
    <row r="27" spans="1:21" ht="14.25" customHeight="1">
      <c r="A27" s="107"/>
      <c r="B27" s="113"/>
      <c r="C27" s="107"/>
      <c r="D27" s="169" t="s">
        <v>59</v>
      </c>
      <c r="E27" s="107"/>
      <c r="F27" s="178" t="s">
        <v>88</v>
      </c>
      <c r="G27" s="576"/>
      <c r="H27" s="125"/>
      <c r="I27" s="171" t="s">
        <v>140</v>
      </c>
      <c r="J27" s="172">
        <v>2000</v>
      </c>
      <c r="K27" s="125" t="s">
        <v>141</v>
      </c>
      <c r="L27" s="107"/>
      <c r="M27" s="107"/>
      <c r="N27" s="169" t="s">
        <v>59</v>
      </c>
      <c r="O27" s="179">
        <v>1000000</v>
      </c>
      <c r="P27" s="169" t="s">
        <v>68</v>
      </c>
      <c r="Q27" s="113"/>
      <c r="R27" s="125"/>
      <c r="S27" s="171" t="s">
        <v>140</v>
      </c>
      <c r="T27" s="180">
        <v>2000</v>
      </c>
      <c r="U27" s="125" t="s">
        <v>141</v>
      </c>
    </row>
    <row r="28" spans="1:21" ht="14.25" customHeight="1">
      <c r="A28" s="125"/>
      <c r="B28" s="125"/>
      <c r="C28" s="125"/>
      <c r="D28" s="125"/>
      <c r="E28" s="125"/>
      <c r="F28" s="125"/>
      <c r="G28" s="125"/>
      <c r="H28" s="125"/>
      <c r="I28" s="125"/>
      <c r="J28" s="125"/>
      <c r="K28" s="125"/>
      <c r="L28" s="125"/>
      <c r="M28" s="125"/>
      <c r="N28" s="125"/>
      <c r="O28" s="125"/>
      <c r="P28" s="125"/>
    </row>
    <row r="29" spans="1:21" ht="14.25" customHeight="1">
      <c r="A29" s="159"/>
      <c r="B29" s="174">
        <f>(B26*E26*H26+M26*O26*R26/1000000)/2000</f>
        <v>9.711376798877998</v>
      </c>
      <c r="C29" s="174"/>
      <c r="D29" s="125" t="s">
        <v>142</v>
      </c>
      <c r="E29" s="159" t="s">
        <v>86</v>
      </c>
      <c r="F29" s="132">
        <f>B29*(2000/8760)</f>
        <v>2.2172093148123282</v>
      </c>
      <c r="G29" s="125" t="s">
        <v>143</v>
      </c>
      <c r="I29" s="125"/>
      <c r="J29" s="125"/>
      <c r="K29" s="125"/>
      <c r="L29" s="125"/>
      <c r="M29" s="125"/>
      <c r="N29" s="125"/>
      <c r="O29" s="125"/>
      <c r="P29" s="125"/>
    </row>
    <row r="30" spans="1:21" ht="14.25" customHeight="1">
      <c r="A30" s="125"/>
      <c r="B30" s="125"/>
      <c r="C30" s="125"/>
      <c r="D30" s="125"/>
      <c r="E30" s="125"/>
      <c r="F30" s="125"/>
      <c r="G30" s="125"/>
      <c r="H30" s="125"/>
      <c r="I30" s="125"/>
      <c r="J30" s="125"/>
      <c r="K30" s="125"/>
      <c r="L30" s="125"/>
      <c r="M30" s="125"/>
      <c r="N30" s="125"/>
      <c r="O30" s="125"/>
      <c r="P30" s="125"/>
    </row>
    <row r="31" spans="1:21" ht="14.25" customHeight="1">
      <c r="A31" s="125"/>
      <c r="B31" s="125"/>
      <c r="C31" s="125"/>
      <c r="D31" s="125"/>
      <c r="E31" s="125"/>
      <c r="F31" s="125"/>
      <c r="G31" s="125"/>
      <c r="H31" s="125"/>
      <c r="I31" s="125"/>
      <c r="J31" s="125"/>
      <c r="K31" s="125"/>
      <c r="L31" s="125"/>
      <c r="M31" s="125"/>
      <c r="N31" s="125"/>
      <c r="O31" s="125"/>
      <c r="P31" s="125"/>
    </row>
    <row r="32" spans="1:21" ht="14.25" customHeight="1">
      <c r="A32" s="159" t="s">
        <v>145</v>
      </c>
      <c r="B32" s="160">
        <f>B16</f>
        <v>1798110.3</v>
      </c>
      <c r="C32" s="161"/>
      <c r="D32" s="162" t="s">
        <v>133</v>
      </c>
      <c r="E32" s="163">
        <v>0.15</v>
      </c>
      <c r="F32" s="164" t="s">
        <v>134</v>
      </c>
      <c r="G32" s="576" t="s">
        <v>135</v>
      </c>
      <c r="H32" s="165">
        <f>C6</f>
        <v>1.2999999999999999E-3</v>
      </c>
      <c r="I32" s="166" t="s">
        <v>136</v>
      </c>
      <c r="J32" s="165">
        <v>1</v>
      </c>
      <c r="K32" s="165" t="s">
        <v>90</v>
      </c>
      <c r="L32" s="167" t="s">
        <v>137</v>
      </c>
      <c r="M32" s="168">
        <f>B17</f>
        <v>1965580205.8499999</v>
      </c>
      <c r="N32" s="162" t="s">
        <v>138</v>
      </c>
      <c r="O32" s="161">
        <v>1040</v>
      </c>
      <c r="P32" s="162" t="s">
        <v>139</v>
      </c>
      <c r="Q32" s="113" t="s">
        <v>135</v>
      </c>
      <c r="R32" s="165">
        <f>B6</f>
        <v>8.0000000000000004E-4</v>
      </c>
      <c r="S32" s="166" t="s">
        <v>136</v>
      </c>
      <c r="T32" s="165">
        <v>1</v>
      </c>
      <c r="U32" s="165" t="s">
        <v>90</v>
      </c>
    </row>
    <row r="33" spans="1:21" ht="14.25" customHeight="1">
      <c r="A33" s="107"/>
      <c r="B33" s="113"/>
      <c r="C33" s="107"/>
      <c r="D33" s="169" t="s">
        <v>59</v>
      </c>
      <c r="E33" s="107"/>
      <c r="F33" s="170" t="s">
        <v>88</v>
      </c>
      <c r="G33" s="576"/>
      <c r="H33" s="125"/>
      <c r="I33" s="171" t="s">
        <v>140</v>
      </c>
      <c r="J33" s="172">
        <v>2000</v>
      </c>
      <c r="K33" s="125" t="s">
        <v>141</v>
      </c>
      <c r="L33" s="107"/>
      <c r="M33" s="107"/>
      <c r="N33" s="169" t="s">
        <v>59</v>
      </c>
      <c r="O33" s="179">
        <v>1000000</v>
      </c>
      <c r="P33" s="169" t="s">
        <v>68</v>
      </c>
      <c r="Q33" s="113"/>
      <c r="R33" s="125"/>
      <c r="S33" s="171" t="s">
        <v>140</v>
      </c>
      <c r="T33" s="172">
        <v>2000</v>
      </c>
      <c r="U33" s="125" t="s">
        <v>141</v>
      </c>
    </row>
    <row r="34" spans="1:21" ht="14.25" customHeight="1">
      <c r="A34" s="125"/>
      <c r="B34" s="125"/>
      <c r="C34" s="125"/>
      <c r="D34" s="125"/>
      <c r="E34" s="125"/>
      <c r="F34" s="125"/>
      <c r="G34" s="125"/>
      <c r="H34" s="125"/>
      <c r="I34" s="125"/>
      <c r="J34" s="125"/>
      <c r="K34" s="125"/>
      <c r="L34" s="125"/>
      <c r="M34" s="125"/>
      <c r="N34" s="125"/>
      <c r="O34" s="125"/>
      <c r="P34" s="125"/>
    </row>
    <row r="35" spans="1:21" ht="14.25" customHeight="1">
      <c r="A35" s="159"/>
      <c r="B35" s="174">
        <f>(B32*E32*H32+M32*O32*R32/1000000)/2000</f>
        <v>0.99299711988359995</v>
      </c>
      <c r="C35" s="174"/>
      <c r="D35" s="125" t="s">
        <v>142</v>
      </c>
      <c r="E35" s="159" t="s">
        <v>86</v>
      </c>
      <c r="F35" s="132">
        <f>B35*(2000/8760)</f>
        <v>0.22671167120630134</v>
      </c>
      <c r="G35" s="125" t="s">
        <v>143</v>
      </c>
      <c r="I35" s="125"/>
      <c r="J35" s="125"/>
      <c r="K35" s="125"/>
      <c r="L35" s="125"/>
      <c r="M35" s="125"/>
      <c r="N35" s="125"/>
      <c r="O35" s="125"/>
      <c r="P35" s="125"/>
    </row>
    <row r="36" spans="1:21" ht="14.25" customHeight="1">
      <c r="A36" s="125"/>
      <c r="B36" s="125"/>
      <c r="C36" s="125"/>
      <c r="D36" s="125"/>
      <c r="E36" s="125"/>
      <c r="F36" s="125"/>
      <c r="G36" s="125"/>
      <c r="H36" s="125"/>
      <c r="I36" s="125"/>
      <c r="J36" s="125"/>
      <c r="K36" s="125"/>
      <c r="L36" s="125"/>
      <c r="M36" s="125"/>
      <c r="N36" s="125"/>
      <c r="O36" s="125"/>
      <c r="P36" s="125"/>
    </row>
    <row r="37" spans="1:21" ht="14.25" customHeight="1">
      <c r="A37" s="125"/>
      <c r="B37" s="125"/>
      <c r="C37" s="125"/>
      <c r="D37" s="125"/>
      <c r="E37" s="125"/>
      <c r="F37" s="125"/>
      <c r="G37" s="125"/>
      <c r="H37" s="125"/>
      <c r="I37" s="125"/>
      <c r="J37" s="125"/>
      <c r="K37" s="125"/>
      <c r="L37" s="125"/>
      <c r="M37" s="125"/>
      <c r="N37" s="125"/>
      <c r="O37" s="125"/>
      <c r="P37" s="125"/>
    </row>
    <row r="38" spans="1:21" ht="14.25" customHeight="1">
      <c r="A38" s="159" t="s">
        <v>146</v>
      </c>
      <c r="B38" s="160">
        <f>B16</f>
        <v>1798110.3</v>
      </c>
      <c r="C38" s="161"/>
      <c r="D38" s="162" t="s">
        <v>133</v>
      </c>
      <c r="E38" s="163">
        <v>0.15</v>
      </c>
      <c r="F38" s="164" t="s">
        <v>134</v>
      </c>
      <c r="G38" s="576" t="s">
        <v>135</v>
      </c>
      <c r="H38" s="165">
        <f>C7</f>
        <v>2.75E-2</v>
      </c>
      <c r="I38" s="166" t="s">
        <v>136</v>
      </c>
      <c r="J38" s="165">
        <v>1</v>
      </c>
      <c r="K38" s="165" t="s">
        <v>90</v>
      </c>
      <c r="L38" s="167" t="s">
        <v>137</v>
      </c>
      <c r="M38" s="168">
        <f>B17</f>
        <v>1965580205.8499999</v>
      </c>
      <c r="N38" s="162" t="s">
        <v>138</v>
      </c>
      <c r="O38" s="161">
        <v>1040</v>
      </c>
      <c r="P38" s="162" t="s">
        <v>139</v>
      </c>
      <c r="Q38" s="113" t="s">
        <v>135</v>
      </c>
      <c r="R38" s="165">
        <f>B7</f>
        <v>5.0000000000000001E-3</v>
      </c>
      <c r="S38" s="166" t="s">
        <v>136</v>
      </c>
      <c r="T38" s="165">
        <v>1</v>
      </c>
      <c r="U38" s="165" t="s">
        <v>90</v>
      </c>
    </row>
    <row r="39" spans="1:21" ht="14.25" customHeight="1">
      <c r="A39" s="107"/>
      <c r="B39" s="113"/>
      <c r="C39" s="107"/>
      <c r="D39" s="169" t="s">
        <v>59</v>
      </c>
      <c r="E39" s="107"/>
      <c r="F39" s="170" t="s">
        <v>88</v>
      </c>
      <c r="G39" s="576"/>
      <c r="H39" s="125"/>
      <c r="I39" s="171" t="s">
        <v>140</v>
      </c>
      <c r="J39" s="172">
        <v>2000</v>
      </c>
      <c r="K39" s="125" t="s">
        <v>141</v>
      </c>
      <c r="L39" s="107"/>
      <c r="M39" s="107"/>
      <c r="N39" s="169" t="s">
        <v>59</v>
      </c>
      <c r="O39" s="179">
        <v>1000000</v>
      </c>
      <c r="P39" s="169" t="s">
        <v>68</v>
      </c>
      <c r="Q39" s="113"/>
      <c r="R39" s="125"/>
      <c r="S39" s="171" t="s">
        <v>140</v>
      </c>
      <c r="T39" s="172">
        <v>2000</v>
      </c>
      <c r="U39" s="125" t="s">
        <v>141</v>
      </c>
    </row>
    <row r="40" spans="1:21" ht="14.25" customHeight="1">
      <c r="A40" s="125"/>
      <c r="B40" s="125"/>
      <c r="C40" s="125"/>
      <c r="D40" s="125"/>
      <c r="E40" s="125"/>
      <c r="F40" s="125"/>
      <c r="L40" s="125"/>
      <c r="M40" s="125"/>
      <c r="N40" s="125"/>
      <c r="O40" s="125"/>
      <c r="P40" s="125"/>
      <c r="Q40" s="125"/>
      <c r="R40" s="125"/>
      <c r="S40" s="125"/>
      <c r="T40" s="125"/>
      <c r="U40" s="125"/>
    </row>
    <row r="41" spans="1:21" ht="14.25" customHeight="1">
      <c r="A41" s="159"/>
      <c r="B41" s="174">
        <f>(B38*E38*H38+M38*O38*R38/1000000)/2000</f>
        <v>8.8191110289600001</v>
      </c>
      <c r="C41" s="174"/>
      <c r="D41" s="125" t="s">
        <v>142</v>
      </c>
      <c r="E41" s="159" t="s">
        <v>86</v>
      </c>
      <c r="F41" s="132">
        <f>B41*(2000/8760)</f>
        <v>2.0134956687123289</v>
      </c>
      <c r="G41" s="125" t="s">
        <v>143</v>
      </c>
      <c r="L41" s="125" t="s">
        <v>143</v>
      </c>
      <c r="N41" s="125"/>
      <c r="O41" s="125"/>
      <c r="P41" s="125"/>
      <c r="Q41" s="125"/>
      <c r="R41" s="125"/>
      <c r="S41" s="125"/>
      <c r="T41" s="125"/>
      <c r="U41" s="125"/>
    </row>
    <row r="42" spans="1:21" ht="14.25" customHeight="1">
      <c r="A42" s="159"/>
      <c r="B42" s="174"/>
      <c r="C42" s="174"/>
      <c r="D42" s="125"/>
      <c r="E42" s="159"/>
      <c r="F42" s="132"/>
      <c r="L42" s="125"/>
      <c r="N42" s="125"/>
      <c r="O42" s="125"/>
      <c r="P42" s="125"/>
      <c r="Q42" s="125"/>
      <c r="R42" s="125"/>
      <c r="S42" s="125"/>
      <c r="T42" s="125"/>
      <c r="U42" s="125"/>
    </row>
    <row r="43" spans="1:21" ht="14.25" customHeight="1">
      <c r="A43" s="159"/>
      <c r="B43" s="174"/>
      <c r="C43" s="174"/>
      <c r="D43" s="125"/>
      <c r="E43" s="159"/>
      <c r="F43" s="132"/>
      <c r="L43" s="125"/>
      <c r="N43" s="125"/>
      <c r="O43" s="125"/>
      <c r="P43" s="125"/>
      <c r="Q43" s="125"/>
      <c r="R43" s="125"/>
      <c r="S43" s="125"/>
      <c r="T43" s="125"/>
      <c r="U43" s="125"/>
    </row>
    <row r="44" spans="1:21" ht="14.25" customHeight="1">
      <c r="A44" s="159" t="s">
        <v>147</v>
      </c>
      <c r="B44" s="160">
        <f>B16</f>
        <v>1798110.3</v>
      </c>
      <c r="C44" s="161"/>
      <c r="D44" s="162" t="s">
        <v>133</v>
      </c>
      <c r="E44" s="163">
        <v>0.15</v>
      </c>
      <c r="F44" s="164" t="s">
        <v>134</v>
      </c>
      <c r="G44" s="576" t="s">
        <v>135</v>
      </c>
      <c r="H44" s="165">
        <f>C8</f>
        <v>0.04</v>
      </c>
      <c r="I44" s="166" t="s">
        <v>136</v>
      </c>
      <c r="J44" s="165">
        <v>1</v>
      </c>
      <c r="K44" s="165" t="s">
        <v>90</v>
      </c>
      <c r="L44" s="167" t="s">
        <v>137</v>
      </c>
      <c r="M44" s="168">
        <f>B17</f>
        <v>1965580205.8499999</v>
      </c>
      <c r="N44" s="162" t="s">
        <v>138</v>
      </c>
      <c r="O44" s="161">
        <v>1040</v>
      </c>
      <c r="P44" s="162" t="s">
        <v>139</v>
      </c>
      <c r="Q44" s="113" t="s">
        <v>135</v>
      </c>
      <c r="R44" s="165">
        <f>B8</f>
        <v>8.0999999999999996E-3</v>
      </c>
      <c r="S44" s="166" t="s">
        <v>136</v>
      </c>
      <c r="T44" s="165">
        <v>1</v>
      </c>
      <c r="U44" s="165" t="s">
        <v>90</v>
      </c>
    </row>
    <row r="45" spans="1:21" ht="14.25" customHeight="1">
      <c r="A45" s="107"/>
      <c r="B45" s="113"/>
      <c r="C45" s="107"/>
      <c r="D45" s="169" t="s">
        <v>59</v>
      </c>
      <c r="E45" s="107"/>
      <c r="F45" s="170" t="s">
        <v>88</v>
      </c>
      <c r="G45" s="576"/>
      <c r="H45" s="125"/>
      <c r="I45" s="171" t="s">
        <v>140</v>
      </c>
      <c r="J45" s="172">
        <v>2000</v>
      </c>
      <c r="K45" s="125" t="s">
        <v>141</v>
      </c>
      <c r="L45" s="107"/>
      <c r="M45" s="107"/>
      <c r="N45" s="169" t="s">
        <v>59</v>
      </c>
      <c r="O45" s="179">
        <v>1000000</v>
      </c>
      <c r="P45" s="169" t="s">
        <v>68</v>
      </c>
      <c r="Q45" s="113"/>
      <c r="R45" s="125"/>
      <c r="S45" s="171" t="s">
        <v>140</v>
      </c>
      <c r="T45" s="172">
        <v>2000</v>
      </c>
      <c r="U45" s="125" t="s">
        <v>141</v>
      </c>
    </row>
    <row r="46" spans="1:21" ht="14.25" customHeight="1">
      <c r="A46" s="125"/>
      <c r="B46" s="125"/>
      <c r="C46" s="125"/>
      <c r="D46" s="125"/>
      <c r="E46" s="125"/>
      <c r="F46" s="125"/>
      <c r="L46" s="125"/>
      <c r="M46" s="125"/>
      <c r="N46" s="125"/>
      <c r="O46" s="125"/>
      <c r="P46" s="125"/>
      <c r="Q46" s="125"/>
      <c r="R46" s="125"/>
      <c r="S46" s="125"/>
      <c r="T46" s="125"/>
      <c r="U46" s="125"/>
    </row>
    <row r="47" spans="1:21" ht="14.25" customHeight="1">
      <c r="A47" s="159"/>
      <c r="B47" s="174">
        <f>(B44*E44*H44+M44*O44*R44/1000000)/2000</f>
        <v>13.673354727040198</v>
      </c>
      <c r="C47" s="174"/>
      <c r="D47" s="125" t="s">
        <v>142</v>
      </c>
      <c r="E47" s="159" t="s">
        <v>86</v>
      </c>
      <c r="F47" s="132">
        <f>B47*(2000/8760)</f>
        <v>3.1217704856256159</v>
      </c>
      <c r="G47" s="125" t="s">
        <v>143</v>
      </c>
      <c r="L47" s="125" t="s">
        <v>143</v>
      </c>
      <c r="N47" s="125"/>
      <c r="O47" s="125"/>
      <c r="P47" s="125"/>
      <c r="Q47" s="125"/>
      <c r="R47" s="125"/>
      <c r="S47" s="125"/>
      <c r="T47" s="125"/>
      <c r="U47" s="125"/>
    </row>
    <row r="48" spans="1:21" ht="14.25" customHeight="1">
      <c r="A48" s="125"/>
      <c r="B48" s="125"/>
      <c r="C48" s="125"/>
      <c r="D48" s="125"/>
      <c r="E48" s="125"/>
      <c r="F48" s="125"/>
      <c r="L48" s="125"/>
      <c r="M48" s="125"/>
      <c r="N48" s="125"/>
      <c r="O48" s="125"/>
      <c r="P48" s="125"/>
      <c r="Q48" s="125"/>
      <c r="R48" s="125"/>
      <c r="S48" s="125"/>
      <c r="T48" s="125"/>
      <c r="U48" s="125"/>
    </row>
    <row r="49" spans="1:21" ht="14.25" customHeight="1">
      <c r="A49" s="125"/>
      <c r="B49" s="125"/>
      <c r="C49" s="125"/>
      <c r="D49" s="125"/>
      <c r="E49" s="125"/>
      <c r="F49" s="125"/>
      <c r="L49" s="125"/>
      <c r="M49" s="125"/>
      <c r="N49" s="125"/>
      <c r="O49" s="125"/>
      <c r="P49" s="125"/>
      <c r="Q49" s="125"/>
      <c r="R49" s="125"/>
      <c r="S49" s="125"/>
      <c r="T49" s="125"/>
      <c r="U49" s="125"/>
    </row>
    <row r="50" spans="1:21" ht="14.25" customHeight="1">
      <c r="A50" s="159" t="s">
        <v>148</v>
      </c>
      <c r="B50" s="160">
        <f>B16</f>
        <v>1798110.3</v>
      </c>
      <c r="C50" s="161"/>
      <c r="D50" s="162" t="s">
        <v>133</v>
      </c>
      <c r="E50" s="163">
        <v>0.15</v>
      </c>
      <c r="F50" s="164" t="s">
        <v>134</v>
      </c>
      <c r="G50" s="576" t="s">
        <v>135</v>
      </c>
      <c r="H50" s="165">
        <f>C9</f>
        <v>3.3000000000000002E-2</v>
      </c>
      <c r="I50" s="166" t="s">
        <v>136</v>
      </c>
      <c r="J50" s="165">
        <v>1</v>
      </c>
      <c r="K50" s="165" t="s">
        <v>90</v>
      </c>
      <c r="L50" s="167" t="s">
        <v>137</v>
      </c>
      <c r="M50" s="168">
        <f>B17</f>
        <v>1965580205.8499999</v>
      </c>
      <c r="N50" s="162" t="s">
        <v>138</v>
      </c>
      <c r="O50" s="161">
        <v>1040</v>
      </c>
      <c r="P50" s="162" t="s">
        <v>139</v>
      </c>
      <c r="Q50" s="113" t="s">
        <v>135</v>
      </c>
      <c r="R50" s="165">
        <f>B9</f>
        <v>7.4999999999999997E-3</v>
      </c>
      <c r="S50" s="166" t="s">
        <v>136</v>
      </c>
      <c r="T50" s="165">
        <v>1</v>
      </c>
      <c r="U50" s="165" t="s">
        <v>90</v>
      </c>
    </row>
    <row r="51" spans="1:21" ht="14.25" customHeight="1">
      <c r="A51" s="107"/>
      <c r="B51" s="113"/>
      <c r="C51" s="107"/>
      <c r="D51" s="169" t="s">
        <v>59</v>
      </c>
      <c r="E51" s="107"/>
      <c r="F51" s="170" t="s">
        <v>88</v>
      </c>
      <c r="G51" s="576"/>
      <c r="H51" s="125"/>
      <c r="I51" s="171" t="s">
        <v>140</v>
      </c>
      <c r="J51" s="172">
        <v>2000</v>
      </c>
      <c r="K51" s="125" t="s">
        <v>141</v>
      </c>
      <c r="L51" s="107"/>
      <c r="M51" s="107"/>
      <c r="N51" s="169" t="s">
        <v>59</v>
      </c>
      <c r="O51" s="179">
        <v>1000000</v>
      </c>
      <c r="P51" s="169" t="s">
        <v>68</v>
      </c>
      <c r="Q51" s="113"/>
      <c r="R51" s="125"/>
      <c r="S51" s="171" t="s">
        <v>140</v>
      </c>
      <c r="T51" s="172">
        <v>2000</v>
      </c>
      <c r="U51" s="125" t="s">
        <v>141</v>
      </c>
    </row>
    <row r="52" spans="1:21" ht="14.25" customHeight="1">
      <c r="A52" s="125"/>
      <c r="B52" s="125"/>
      <c r="C52" s="125"/>
      <c r="D52" s="125"/>
      <c r="E52" s="125"/>
      <c r="F52" s="125"/>
      <c r="L52" s="125"/>
      <c r="M52" s="125"/>
      <c r="N52" s="125"/>
      <c r="O52" s="125"/>
      <c r="P52" s="125"/>
      <c r="Q52" s="125"/>
      <c r="R52" s="125"/>
      <c r="S52" s="125"/>
      <c r="T52" s="125"/>
      <c r="U52" s="125"/>
    </row>
    <row r="53" spans="1:21" ht="14.25" customHeight="1">
      <c r="A53" s="159"/>
      <c r="B53" s="174">
        <f>(B50*E50*H50+M50*O50*R50/1000000)/2000</f>
        <v>12.116085795315</v>
      </c>
      <c r="C53" s="174"/>
      <c r="D53" s="125" t="s">
        <v>142</v>
      </c>
      <c r="E53" s="159" t="s">
        <v>86</v>
      </c>
      <c r="F53" s="132">
        <f>B53*(2000/8760)</f>
        <v>2.7662296336335612</v>
      </c>
      <c r="G53" s="125" t="s">
        <v>143</v>
      </c>
      <c r="L53" s="125" t="s">
        <v>143</v>
      </c>
      <c r="N53" s="125"/>
      <c r="O53" s="125"/>
      <c r="P53" s="125"/>
      <c r="Q53" s="125"/>
      <c r="R53" s="125"/>
      <c r="S53" s="125"/>
      <c r="T53" s="125"/>
      <c r="U53" s="125"/>
    </row>
    <row r="54" spans="1:21" ht="14.25" customHeight="1">
      <c r="A54" s="125"/>
      <c r="B54" s="125"/>
      <c r="C54" s="125"/>
      <c r="D54" s="125"/>
      <c r="E54" s="125"/>
      <c r="F54" s="125"/>
      <c r="L54" s="125"/>
      <c r="M54" s="125"/>
      <c r="N54" s="125"/>
      <c r="O54" s="125"/>
      <c r="P54" s="125"/>
      <c r="Q54" s="125"/>
      <c r="R54" s="125"/>
      <c r="S54" s="125"/>
      <c r="T54" s="125"/>
      <c r="U54" s="125"/>
    </row>
    <row r="55" spans="1:21" ht="14.25" customHeight="1">
      <c r="A55" s="125"/>
      <c r="B55" s="125"/>
      <c r="C55" s="125"/>
      <c r="D55" s="125"/>
      <c r="E55" s="125"/>
      <c r="F55" s="125"/>
      <c r="L55" s="125"/>
      <c r="M55" s="125"/>
      <c r="N55" s="125"/>
      <c r="O55" s="125"/>
      <c r="P55" s="125"/>
      <c r="Q55" s="125"/>
      <c r="R55" s="125"/>
      <c r="S55" s="125"/>
      <c r="T55" s="125"/>
      <c r="U55" s="125"/>
    </row>
    <row r="56" spans="1:21" ht="14.25" customHeight="1">
      <c r="A56" s="159" t="s">
        <v>149</v>
      </c>
      <c r="B56" s="160">
        <f>B16</f>
        <v>1798110.3</v>
      </c>
      <c r="C56" s="161"/>
      <c r="D56" s="162" t="s">
        <v>133</v>
      </c>
      <c r="E56" s="163"/>
      <c r="F56" s="164"/>
      <c r="G56" s="576" t="s">
        <v>135</v>
      </c>
      <c r="H56" s="165">
        <f>(157)*B18</f>
        <v>73.789999999999992</v>
      </c>
      <c r="I56" s="166" t="s">
        <v>136</v>
      </c>
      <c r="J56" s="165">
        <v>1</v>
      </c>
      <c r="K56" s="165" t="s">
        <v>90</v>
      </c>
      <c r="L56" s="167" t="s">
        <v>137</v>
      </c>
      <c r="M56" s="168">
        <f>B17</f>
        <v>1965580205.8499999</v>
      </c>
      <c r="N56" s="162" t="s">
        <v>138</v>
      </c>
      <c r="O56" s="161">
        <v>1040</v>
      </c>
      <c r="P56" s="162" t="s">
        <v>139</v>
      </c>
      <c r="Q56" s="113" t="s">
        <v>135</v>
      </c>
      <c r="R56" s="165">
        <f>B10</f>
        <v>4.0000000000000001E-3</v>
      </c>
      <c r="S56" s="166" t="s">
        <v>136</v>
      </c>
      <c r="T56" s="165">
        <v>1</v>
      </c>
      <c r="U56" s="165" t="s">
        <v>90</v>
      </c>
    </row>
    <row r="57" spans="1:21" ht="14.25" customHeight="1">
      <c r="A57" s="107"/>
      <c r="B57" s="113"/>
      <c r="C57" s="107"/>
      <c r="D57" s="169" t="s">
        <v>59</v>
      </c>
      <c r="E57" s="107"/>
      <c r="F57" s="170"/>
      <c r="G57" s="576"/>
      <c r="H57" s="125">
        <v>1000</v>
      </c>
      <c r="I57" s="171" t="s">
        <v>150</v>
      </c>
      <c r="J57" s="172">
        <v>2000</v>
      </c>
      <c r="K57" s="125" t="s">
        <v>141</v>
      </c>
      <c r="L57" s="107"/>
      <c r="M57" s="107"/>
      <c r="N57" s="169" t="s">
        <v>59</v>
      </c>
      <c r="O57" s="179">
        <v>1000000</v>
      </c>
      <c r="P57" s="169" t="s">
        <v>68</v>
      </c>
      <c r="Q57" s="113"/>
      <c r="R57" s="125"/>
      <c r="S57" s="171" t="s">
        <v>140</v>
      </c>
      <c r="T57" s="172">
        <v>2000</v>
      </c>
      <c r="U57" s="125" t="s">
        <v>141</v>
      </c>
    </row>
    <row r="58" spans="1:21" ht="14.25" customHeight="1">
      <c r="A58" s="125"/>
      <c r="B58" s="125"/>
      <c r="C58" s="125"/>
      <c r="D58" s="125"/>
      <c r="E58" s="125"/>
      <c r="F58" s="125"/>
      <c r="L58" s="125"/>
      <c r="M58" s="125"/>
      <c r="N58" s="125"/>
      <c r="O58" s="125"/>
      <c r="P58" s="125"/>
      <c r="Q58" s="125"/>
      <c r="R58" s="125"/>
      <c r="S58" s="125"/>
      <c r="T58" s="125"/>
      <c r="U58" s="125"/>
    </row>
    <row r="59" spans="1:21" ht="14.25" customHeight="1">
      <c r="A59" s="159"/>
      <c r="B59" s="174">
        <f>(B56*H56/H57+M56*O56*R56/1000000)/2000</f>
        <v>70.429686346667992</v>
      </c>
      <c r="C59" s="174"/>
      <c r="D59" s="125" t="s">
        <v>142</v>
      </c>
      <c r="E59" s="159" t="s">
        <v>86</v>
      </c>
      <c r="F59" s="132">
        <f>B59*(2000/8760)</f>
        <v>16.079837065449311</v>
      </c>
      <c r="G59" s="125" t="s">
        <v>143</v>
      </c>
      <c r="L59" s="125" t="s">
        <v>143</v>
      </c>
      <c r="N59" s="125"/>
      <c r="O59" s="125"/>
      <c r="P59" s="125"/>
      <c r="Q59" s="125"/>
      <c r="R59" s="125"/>
      <c r="S59" s="125"/>
      <c r="T59" s="125"/>
      <c r="U59" s="125"/>
    </row>
    <row r="60" spans="1:21" ht="14.25" customHeight="1">
      <c r="A60" s="125"/>
      <c r="B60" s="125"/>
      <c r="C60" s="125"/>
      <c r="D60" s="125"/>
      <c r="E60" s="125"/>
      <c r="F60" s="125"/>
      <c r="L60" s="125"/>
      <c r="M60" s="125"/>
      <c r="N60" s="125"/>
      <c r="O60" s="125"/>
      <c r="P60" s="125"/>
      <c r="Q60" s="125"/>
      <c r="R60" s="125"/>
      <c r="S60" s="125"/>
      <c r="T60" s="125"/>
      <c r="U60" s="125"/>
    </row>
    <row r="61" spans="1:21" ht="14.25" customHeight="1">
      <c r="A61" s="125"/>
      <c r="B61" s="125"/>
      <c r="C61" s="125"/>
      <c r="D61" s="125"/>
      <c r="E61" s="125"/>
      <c r="F61" s="125"/>
      <c r="L61" s="125"/>
      <c r="M61" s="125"/>
      <c r="N61" s="125"/>
      <c r="O61" s="125"/>
      <c r="P61" s="125"/>
      <c r="Q61" s="125"/>
      <c r="R61" s="125"/>
      <c r="S61" s="125"/>
      <c r="T61" s="125"/>
      <c r="U61" s="125"/>
    </row>
    <row r="62" spans="1:21" ht="14.25" customHeight="1">
      <c r="A62" s="159" t="s">
        <v>151</v>
      </c>
      <c r="B62" s="160">
        <f>B16</f>
        <v>1798110.3</v>
      </c>
      <c r="C62" s="161"/>
      <c r="D62" s="162" t="s">
        <v>133</v>
      </c>
      <c r="E62" s="163">
        <v>0.15</v>
      </c>
      <c r="F62" s="164" t="s">
        <v>134</v>
      </c>
      <c r="G62" s="576" t="s">
        <v>135</v>
      </c>
      <c r="H62" s="165">
        <f>C11</f>
        <v>2.2589999999999999E-2</v>
      </c>
      <c r="I62" s="166" t="s">
        <v>136</v>
      </c>
      <c r="J62" s="165">
        <v>1</v>
      </c>
      <c r="K62" s="165" t="s">
        <v>90</v>
      </c>
      <c r="L62" s="167" t="s">
        <v>137</v>
      </c>
      <c r="M62" s="168">
        <f>B17</f>
        <v>1965580205.8499999</v>
      </c>
      <c r="N62" s="162" t="s">
        <v>138</v>
      </c>
      <c r="O62" s="161">
        <v>1040</v>
      </c>
      <c r="P62" s="162" t="s">
        <v>139</v>
      </c>
      <c r="Q62" s="113" t="s">
        <v>135</v>
      </c>
      <c r="R62" s="165">
        <f>B11</f>
        <v>4.2999999999999999E-4</v>
      </c>
      <c r="S62" s="166" t="s">
        <v>136</v>
      </c>
      <c r="T62" s="165">
        <v>1</v>
      </c>
      <c r="U62" s="165" t="s">
        <v>90</v>
      </c>
    </row>
    <row r="63" spans="1:21" ht="14.25" customHeight="1">
      <c r="A63" s="107"/>
      <c r="B63" s="113"/>
      <c r="C63" s="107"/>
      <c r="D63" s="169" t="s">
        <v>59</v>
      </c>
      <c r="E63" s="107"/>
      <c r="F63" s="170" t="s">
        <v>88</v>
      </c>
      <c r="G63" s="576"/>
      <c r="H63" s="125"/>
      <c r="I63" s="171" t="s">
        <v>140</v>
      </c>
      <c r="J63" s="172">
        <v>2000</v>
      </c>
      <c r="K63" s="125" t="s">
        <v>141</v>
      </c>
      <c r="L63" s="107"/>
      <c r="M63" s="107"/>
      <c r="N63" s="169" t="s">
        <v>59</v>
      </c>
      <c r="O63" s="179">
        <v>1000000</v>
      </c>
      <c r="P63" s="169" t="s">
        <v>68</v>
      </c>
      <c r="Q63" s="113"/>
      <c r="R63" s="125"/>
      <c r="S63" s="171" t="s">
        <v>140</v>
      </c>
      <c r="T63" s="172">
        <v>2000</v>
      </c>
      <c r="U63" s="125" t="s">
        <v>141</v>
      </c>
    </row>
    <row r="64" spans="1:21" ht="14.25" customHeight="1">
      <c r="A64" s="125"/>
      <c r="B64" s="125"/>
      <c r="C64" s="125"/>
      <c r="D64" s="125"/>
      <c r="E64" s="125"/>
      <c r="F64" s="125"/>
      <c r="L64" s="125"/>
      <c r="M64" s="125"/>
      <c r="N64" s="125"/>
      <c r="O64" s="125"/>
      <c r="P64" s="125"/>
      <c r="Q64" s="125"/>
      <c r="R64" s="125"/>
      <c r="S64" s="125"/>
      <c r="T64" s="125"/>
      <c r="U64" s="125"/>
    </row>
    <row r="65" spans="1:21" ht="14.25" customHeight="1">
      <c r="A65" s="159"/>
      <c r="B65" s="174">
        <f>(B62*E62*H62+M62*O62*R62/1000000)/2000</f>
        <v>3.4859521098030597</v>
      </c>
      <c r="C65" s="174"/>
      <c r="D65" s="125" t="s">
        <v>142</v>
      </c>
      <c r="E65" s="159" t="s">
        <v>86</v>
      </c>
      <c r="F65" s="132">
        <f>B65*(2000/8760)</f>
        <v>0.79587947712398621</v>
      </c>
      <c r="G65" s="125" t="s">
        <v>143</v>
      </c>
      <c r="L65" s="125" t="s">
        <v>143</v>
      </c>
      <c r="N65" s="125"/>
      <c r="O65" s="125"/>
      <c r="P65" s="125"/>
      <c r="Q65" s="125"/>
      <c r="R65" s="125"/>
      <c r="S65" s="125"/>
      <c r="T65" s="125"/>
      <c r="U65" s="125"/>
    </row>
    <row r="66" spans="1:21" ht="14.25" customHeight="1">
      <c r="A66" s="125"/>
      <c r="B66" s="125"/>
      <c r="C66" s="125"/>
      <c r="D66" s="125"/>
      <c r="E66" s="125"/>
      <c r="F66" s="125"/>
      <c r="L66" s="125"/>
      <c r="M66" s="125"/>
      <c r="N66" s="125"/>
      <c r="O66" s="125"/>
      <c r="P66" s="125"/>
      <c r="Q66" s="125"/>
      <c r="R66" s="125"/>
      <c r="S66" s="125"/>
      <c r="T66" s="125"/>
      <c r="U66" s="125"/>
    </row>
    <row r="67" spans="1:21" ht="14.25" customHeight="1">
      <c r="A67" s="125"/>
      <c r="B67" s="125"/>
      <c r="C67" s="125"/>
      <c r="D67" s="125"/>
      <c r="E67" s="125"/>
      <c r="F67" s="125"/>
      <c r="L67" s="125"/>
      <c r="M67" s="125"/>
      <c r="N67" s="125"/>
      <c r="O67" s="125"/>
      <c r="P67" s="125"/>
      <c r="Q67" s="125"/>
      <c r="R67" s="125"/>
      <c r="S67" s="125"/>
      <c r="T67" s="125"/>
      <c r="U67" s="125"/>
    </row>
    <row r="68" spans="1:21" ht="14.25" customHeight="1">
      <c r="A68" s="159" t="s">
        <v>152</v>
      </c>
      <c r="B68" s="160">
        <f>B16</f>
        <v>1798110.3</v>
      </c>
      <c r="C68" s="161"/>
      <c r="D68" s="162" t="s">
        <v>133</v>
      </c>
      <c r="E68" s="163">
        <v>0.15</v>
      </c>
      <c r="F68" s="164" t="s">
        <v>134</v>
      </c>
      <c r="G68" s="576" t="s">
        <v>135</v>
      </c>
      <c r="H68" s="181">
        <f>C12</f>
        <v>4.6299999999999997E-6</v>
      </c>
      <c r="I68" s="166" t="s">
        <v>136</v>
      </c>
      <c r="J68" s="165">
        <v>1</v>
      </c>
      <c r="K68" s="165" t="s">
        <v>90</v>
      </c>
      <c r="L68" s="167" t="s">
        <v>137</v>
      </c>
      <c r="M68" s="168">
        <f>B17</f>
        <v>1965580205.8499999</v>
      </c>
      <c r="N68" s="162" t="s">
        <v>138</v>
      </c>
      <c r="O68" s="161">
        <v>1040</v>
      </c>
      <c r="P68" s="162" t="s">
        <v>139</v>
      </c>
      <c r="Q68" s="113" t="s">
        <v>135</v>
      </c>
      <c r="R68" s="165">
        <f>B12</f>
        <v>0</v>
      </c>
      <c r="S68" s="166" t="s">
        <v>136</v>
      </c>
      <c r="T68" s="165">
        <v>1</v>
      </c>
      <c r="U68" s="165" t="s">
        <v>90</v>
      </c>
    </row>
    <row r="69" spans="1:21" ht="14.25" customHeight="1">
      <c r="A69" s="107"/>
      <c r="B69" s="113"/>
      <c r="C69" s="107"/>
      <c r="D69" s="169" t="s">
        <v>59</v>
      </c>
      <c r="E69" s="107"/>
      <c r="F69" s="170" t="s">
        <v>88</v>
      </c>
      <c r="G69" s="576"/>
      <c r="H69" s="125"/>
      <c r="I69" s="171" t="s">
        <v>140</v>
      </c>
      <c r="J69" s="172">
        <v>2000</v>
      </c>
      <c r="K69" s="125" t="s">
        <v>141</v>
      </c>
      <c r="L69" s="107"/>
      <c r="M69" s="107"/>
      <c r="N69" s="169" t="s">
        <v>59</v>
      </c>
      <c r="O69" s="179">
        <v>1000000</v>
      </c>
      <c r="P69" s="169" t="s">
        <v>68</v>
      </c>
      <c r="Q69" s="113"/>
      <c r="R69" s="125"/>
      <c r="S69" s="171" t="s">
        <v>140</v>
      </c>
      <c r="T69" s="172">
        <v>2000</v>
      </c>
      <c r="U69" s="125" t="s">
        <v>141</v>
      </c>
    </row>
    <row r="70" spans="1:21" ht="14.25" customHeight="1">
      <c r="A70" s="125"/>
      <c r="B70" s="125"/>
      <c r="C70" s="125"/>
      <c r="D70" s="125"/>
      <c r="E70" s="125"/>
      <c r="F70" s="125"/>
      <c r="G70" s="125"/>
      <c r="H70" s="125"/>
      <c r="I70" s="125"/>
      <c r="J70" s="125"/>
      <c r="K70" s="125"/>
      <c r="L70" s="125"/>
      <c r="M70" s="125"/>
      <c r="N70" s="125"/>
      <c r="O70" s="125"/>
      <c r="P70" s="125"/>
    </row>
    <row r="71" spans="1:21" ht="14.25" customHeight="1">
      <c r="A71" s="159"/>
      <c r="B71" s="174">
        <f>(B68*E68*H68+M68*O68*R68/1000000)/2000</f>
        <v>6.2439380167499993E-4</v>
      </c>
      <c r="C71" s="174"/>
      <c r="D71" s="125" t="s">
        <v>142</v>
      </c>
      <c r="E71" s="159" t="s">
        <v>86</v>
      </c>
      <c r="F71" s="132">
        <f>B71*(2000/8760)</f>
        <v>1.4255566248287668E-4</v>
      </c>
      <c r="G71" s="125" t="s">
        <v>143</v>
      </c>
      <c r="I71" s="125"/>
      <c r="J71" s="125"/>
      <c r="K71" s="125"/>
      <c r="L71" s="125"/>
      <c r="M71" s="125"/>
      <c r="N71" s="125"/>
      <c r="O71" s="125"/>
      <c r="P71" s="125"/>
    </row>
    <row r="74" spans="1:21" ht="14.25" customHeight="1">
      <c r="A74" s="159" t="s">
        <v>153</v>
      </c>
      <c r="B74" s="160">
        <f>B16</f>
        <v>1798110.3</v>
      </c>
      <c r="C74" s="161"/>
      <c r="D74" s="162" t="s">
        <v>133</v>
      </c>
      <c r="E74" s="182">
        <f>W11</f>
        <v>25.617688884503689</v>
      </c>
      <c r="F74" s="164" t="s">
        <v>141</v>
      </c>
      <c r="G74" s="576" t="s">
        <v>135</v>
      </c>
      <c r="H74" s="165">
        <v>1</v>
      </c>
      <c r="I74" s="165" t="s">
        <v>90</v>
      </c>
      <c r="J74" s="167" t="s">
        <v>137</v>
      </c>
      <c r="M74" s="168">
        <f>B17</f>
        <v>1965580205.8499999</v>
      </c>
      <c r="N74" s="162" t="s">
        <v>138</v>
      </c>
      <c r="O74" s="183">
        <f>W12</f>
        <v>0.12049378268189943</v>
      </c>
      <c r="P74" s="162" t="s">
        <v>141</v>
      </c>
      <c r="Q74" s="113" t="s">
        <v>135</v>
      </c>
      <c r="R74" s="165">
        <v>1</v>
      </c>
      <c r="S74" s="165" t="s">
        <v>90</v>
      </c>
    </row>
    <row r="75" spans="1:21" ht="14.25" customHeight="1">
      <c r="A75" s="107"/>
      <c r="B75" s="113"/>
      <c r="C75" s="107"/>
      <c r="D75" s="169" t="s">
        <v>59</v>
      </c>
      <c r="E75" s="107"/>
      <c r="F75" s="170" t="s">
        <v>88</v>
      </c>
      <c r="G75" s="576"/>
      <c r="H75" s="172">
        <v>2000</v>
      </c>
      <c r="I75" s="125" t="s">
        <v>141</v>
      </c>
      <c r="J75" s="107"/>
      <c r="M75" s="107"/>
      <c r="N75" s="169" t="s">
        <v>59</v>
      </c>
      <c r="O75" s="179"/>
      <c r="P75" s="169" t="s">
        <v>68</v>
      </c>
      <c r="Q75" s="113"/>
      <c r="R75" s="172">
        <v>2000</v>
      </c>
      <c r="S75" s="125" t="s">
        <v>141</v>
      </c>
    </row>
    <row r="76" spans="1:21" ht="14.25" customHeight="1">
      <c r="A76" s="125"/>
      <c r="B76" s="125"/>
      <c r="C76" s="125"/>
      <c r="D76" s="125"/>
      <c r="E76" s="125"/>
      <c r="F76" s="125"/>
      <c r="L76" s="125"/>
      <c r="M76" s="125"/>
      <c r="N76" s="125"/>
      <c r="O76" s="125"/>
      <c r="P76" s="125"/>
      <c r="Q76" s="125"/>
      <c r="R76" s="125"/>
      <c r="S76" s="125"/>
      <c r="T76" s="125"/>
      <c r="U76" s="125"/>
    </row>
    <row r="77" spans="1:21" ht="14.25" customHeight="1">
      <c r="A77" s="159"/>
      <c r="B77" s="174">
        <f>(B74*E74+M74*O74)/H75</f>
        <v>141451.81220647731</v>
      </c>
      <c r="C77" s="174"/>
      <c r="D77" s="125" t="s">
        <v>142</v>
      </c>
      <c r="E77" s="159" t="s">
        <v>86</v>
      </c>
      <c r="F77" s="132">
        <f>B77*(2000/8760)</f>
        <v>32294.934293716276</v>
      </c>
      <c r="G77" s="125" t="s">
        <v>143</v>
      </c>
      <c r="L77" s="125"/>
      <c r="N77" s="125"/>
      <c r="O77" s="125"/>
      <c r="P77" s="125"/>
      <c r="Q77" s="125"/>
      <c r="R77" s="125"/>
      <c r="S77" s="125"/>
      <c r="T77" s="125"/>
      <c r="U77" s="125"/>
    </row>
    <row r="78" spans="1:21" ht="14.25" customHeight="1">
      <c r="A78" s="125"/>
      <c r="B78" s="125"/>
      <c r="C78" s="125"/>
      <c r="D78" s="125"/>
      <c r="E78" s="125"/>
      <c r="F78" s="125"/>
      <c r="L78" s="125"/>
      <c r="M78" s="125"/>
      <c r="N78" s="125"/>
      <c r="O78" s="125"/>
      <c r="P78" s="125"/>
      <c r="Q78" s="125"/>
      <c r="R78" s="125"/>
      <c r="S78" s="125"/>
      <c r="T78" s="125"/>
      <c r="U78" s="125"/>
    </row>
    <row r="79" spans="1:21" ht="14.25" customHeight="1">
      <c r="A79" s="125"/>
      <c r="B79" s="125"/>
      <c r="C79" s="125"/>
      <c r="D79" s="125"/>
      <c r="E79" s="125"/>
      <c r="F79" s="125"/>
      <c r="L79" s="125"/>
      <c r="M79" s="125"/>
      <c r="N79" s="125"/>
      <c r="O79" s="125"/>
      <c r="P79" s="125"/>
      <c r="Q79" s="125"/>
      <c r="R79" s="125"/>
      <c r="S79" s="125"/>
      <c r="T79" s="125"/>
      <c r="U79" s="125"/>
    </row>
    <row r="80" spans="1:21" ht="14.25" customHeight="1">
      <c r="A80" s="85"/>
      <c r="B80" s="81" t="s">
        <v>154</v>
      </c>
      <c r="C80" s="81"/>
      <c r="D80" s="81"/>
      <c r="E80" s="81"/>
      <c r="F80" s="81"/>
      <c r="G80" s="81"/>
      <c r="H80" s="81"/>
      <c r="I80" s="81"/>
      <c r="J80" s="81"/>
      <c r="K80" s="85"/>
      <c r="L80" s="85"/>
      <c r="M80" s="85"/>
      <c r="N80" s="85"/>
      <c r="O80" s="85"/>
      <c r="P80" s="85"/>
    </row>
    <row r="81" spans="2:10" ht="14.25" customHeight="1">
      <c r="B81" s="81" t="s">
        <v>155</v>
      </c>
      <c r="C81" s="81"/>
      <c r="D81" s="81"/>
      <c r="E81" s="81"/>
      <c r="F81" s="81"/>
      <c r="G81" s="81"/>
      <c r="H81" s="81"/>
      <c r="I81" s="81"/>
      <c r="J81" s="81"/>
    </row>
    <row r="82" spans="2:10" ht="14.25" customHeight="1">
      <c r="B82" s="81" t="s">
        <v>156</v>
      </c>
      <c r="C82" s="81"/>
      <c r="D82" s="81"/>
      <c r="E82" s="81"/>
      <c r="F82" s="81"/>
      <c r="G82" s="81"/>
      <c r="H82" s="81"/>
      <c r="I82" s="81"/>
      <c r="J82" s="81"/>
    </row>
    <row r="83" spans="2:10" ht="14.25" customHeight="1">
      <c r="B83" s="81" t="s">
        <v>157</v>
      </c>
      <c r="C83" s="81"/>
      <c r="D83" s="85"/>
      <c r="E83" s="85"/>
      <c r="F83" s="85"/>
      <c r="G83" s="85"/>
      <c r="H83" s="85"/>
      <c r="I83" s="85"/>
      <c r="J83" s="85"/>
    </row>
  </sheetData>
  <mergeCells count="13">
    <mergeCell ref="A1:P1"/>
    <mergeCell ref="F6:N6"/>
    <mergeCell ref="G20:G21"/>
    <mergeCell ref="Q20:Q21"/>
    <mergeCell ref="G26:G27"/>
    <mergeCell ref="G62:G63"/>
    <mergeCell ref="G68:G69"/>
    <mergeCell ref="G74:G75"/>
    <mergeCell ref="G32:G33"/>
    <mergeCell ref="G38:G39"/>
    <mergeCell ref="G44:G45"/>
    <mergeCell ref="G50:G51"/>
    <mergeCell ref="G56:G57"/>
  </mergeCells>
  <pageMargins left="0.7" right="0.7" top="0.75" bottom="0.75" header="0.511811023622047" footer="0.511811023622047"/>
  <pageSetup paperSize="9" orientation="portrait" horizontalDpi="300" verticalDpi="300"/>
  <legacyDrawing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2:R37"/>
  <sheetViews>
    <sheetView zoomScaleNormal="100" workbookViewId="0"/>
  </sheetViews>
  <sheetFormatPr defaultColWidth="8.85546875" defaultRowHeight="15"/>
  <cols>
    <col min="1" max="1" width="9.42578125" style="23" customWidth="1"/>
    <col min="2" max="3" width="11.42578125" style="23" customWidth="1"/>
    <col min="4" max="4" width="14.85546875" style="23" customWidth="1"/>
    <col min="5" max="5" width="16.42578125" style="23" customWidth="1"/>
    <col min="6" max="6" width="15.140625" style="23" customWidth="1"/>
    <col min="7" max="7" width="14.85546875" style="23" customWidth="1"/>
    <col min="8" max="8" width="14.7109375" style="23" customWidth="1"/>
    <col min="9" max="9" width="13.85546875" style="23" customWidth="1"/>
    <col min="10" max="10" width="12.42578125" style="23" customWidth="1"/>
    <col min="11" max="12" width="9.28515625" style="23" customWidth="1"/>
    <col min="13" max="13" width="13" style="23" customWidth="1"/>
    <col min="14" max="14" width="19.5703125" style="23" customWidth="1"/>
    <col min="15" max="15" width="18.140625" style="23" customWidth="1"/>
    <col min="16" max="16384" width="8.85546875" style="23"/>
  </cols>
  <sheetData>
    <row r="2" spans="1:18" ht="14.25" customHeight="1">
      <c r="A2" s="566" t="s">
        <v>159</v>
      </c>
      <c r="B2" s="566"/>
      <c r="C2" s="566"/>
      <c r="D2" s="566"/>
      <c r="E2" s="566"/>
      <c r="F2" s="566"/>
      <c r="G2" s="566"/>
      <c r="H2" s="566"/>
      <c r="I2" s="566"/>
      <c r="J2" s="566"/>
      <c r="K2" s="566"/>
      <c r="L2" s="566"/>
      <c r="M2" s="566"/>
    </row>
    <row r="3" spans="1:18" ht="14.25" customHeight="1">
      <c r="A3" s="580" t="s">
        <v>59</v>
      </c>
      <c r="B3" s="582" t="s">
        <v>58</v>
      </c>
      <c r="C3" s="582"/>
      <c r="D3" s="582"/>
      <c r="E3" s="582"/>
      <c r="F3" s="571" t="s">
        <v>56</v>
      </c>
      <c r="G3" s="571"/>
      <c r="H3" s="571"/>
      <c r="I3" s="571"/>
      <c r="J3" s="566" t="s">
        <v>57</v>
      </c>
      <c r="K3" s="566"/>
      <c r="L3" s="566"/>
      <c r="M3" s="566"/>
    </row>
    <row r="4" spans="1:18" ht="14.25" customHeight="1">
      <c r="A4" s="580"/>
      <c r="B4" s="24" t="s">
        <v>160</v>
      </c>
      <c r="C4" s="24" t="s">
        <v>161</v>
      </c>
      <c r="D4" s="24" t="s">
        <v>162</v>
      </c>
      <c r="E4" s="24" t="s">
        <v>163</v>
      </c>
      <c r="F4" s="24" t="s">
        <v>160</v>
      </c>
      <c r="G4" s="24" t="s">
        <v>161</v>
      </c>
      <c r="H4" s="24" t="s">
        <v>162</v>
      </c>
      <c r="I4" s="25" t="s">
        <v>163</v>
      </c>
      <c r="J4" s="24" t="s">
        <v>160</v>
      </c>
      <c r="K4" s="24" t="s">
        <v>161</v>
      </c>
      <c r="L4" s="24" t="s">
        <v>162</v>
      </c>
      <c r="M4" s="24" t="s">
        <v>163</v>
      </c>
      <c r="P4" s="184"/>
      <c r="Q4" s="184"/>
    </row>
    <row r="5" spans="1:18" ht="14.25" customHeight="1">
      <c r="A5" s="32">
        <v>46023</v>
      </c>
      <c r="B5" s="185"/>
      <c r="C5" s="185"/>
      <c r="D5" s="185"/>
      <c r="E5" s="185"/>
      <c r="F5" s="186"/>
      <c r="G5" s="186"/>
      <c r="H5" s="186"/>
      <c r="I5" s="187"/>
      <c r="J5" s="185"/>
      <c r="K5" s="185"/>
      <c r="L5" s="185"/>
      <c r="M5" s="188"/>
      <c r="P5" s="189"/>
      <c r="Q5" s="189"/>
    </row>
    <row r="6" spans="1:18" ht="14.25" customHeight="1">
      <c r="A6" s="40">
        <v>46054</v>
      </c>
      <c r="B6" s="190"/>
      <c r="C6" s="190"/>
      <c r="D6" s="190"/>
      <c r="E6" s="190"/>
      <c r="F6" s="191"/>
      <c r="G6" s="191"/>
      <c r="H6" s="191"/>
      <c r="I6" s="192"/>
      <c r="J6" s="190"/>
      <c r="K6" s="190"/>
      <c r="L6" s="190"/>
      <c r="M6" s="188"/>
      <c r="P6" s="189"/>
      <c r="Q6" s="189"/>
    </row>
    <row r="7" spans="1:18" ht="14.25" customHeight="1">
      <c r="A7" s="40">
        <v>46082</v>
      </c>
      <c r="B7" s="190"/>
      <c r="C7" s="190"/>
      <c r="D7" s="190"/>
      <c r="E7" s="190"/>
      <c r="F7" s="191"/>
      <c r="G7" s="191"/>
      <c r="H7" s="191"/>
      <c r="I7" s="192"/>
      <c r="J7" s="190"/>
      <c r="K7" s="190"/>
      <c r="L7" s="190"/>
      <c r="M7" s="188"/>
      <c r="P7" s="189"/>
      <c r="Q7" s="189"/>
    </row>
    <row r="8" spans="1:18" ht="14.25" customHeight="1">
      <c r="A8" s="40">
        <v>46113</v>
      </c>
      <c r="B8" s="193"/>
      <c r="C8" s="190"/>
      <c r="D8" s="190"/>
      <c r="E8" s="190"/>
      <c r="F8" s="191"/>
      <c r="G8" s="191"/>
      <c r="H8" s="191"/>
      <c r="I8" s="192"/>
      <c r="J8" s="190"/>
      <c r="K8" s="190"/>
      <c r="L8" s="190"/>
      <c r="M8" s="188"/>
      <c r="P8" s="189"/>
      <c r="Q8" s="189"/>
    </row>
    <row r="9" spans="1:18" ht="14.25" customHeight="1">
      <c r="A9" s="40">
        <v>46143</v>
      </c>
      <c r="B9" s="190"/>
      <c r="C9" s="190"/>
      <c r="D9" s="190"/>
      <c r="E9" s="190"/>
      <c r="F9" s="191"/>
      <c r="G9" s="191"/>
      <c r="H9" s="191"/>
      <c r="I9" s="192"/>
      <c r="J9" s="190"/>
      <c r="K9" s="190"/>
      <c r="L9" s="190"/>
      <c r="M9" s="188"/>
      <c r="P9" s="189"/>
      <c r="Q9" s="189"/>
    </row>
    <row r="10" spans="1:18" ht="14.25" customHeight="1">
      <c r="A10" s="48">
        <v>46174</v>
      </c>
      <c r="B10" s="194">
        <v>419.41</v>
      </c>
      <c r="C10" s="194">
        <v>0</v>
      </c>
      <c r="D10" s="194">
        <v>28472.37</v>
      </c>
      <c r="E10" s="194">
        <v>0</v>
      </c>
      <c r="F10" s="195">
        <f>SUM(B10*42)</f>
        <v>17615.22</v>
      </c>
      <c r="G10" s="195">
        <v>0</v>
      </c>
      <c r="H10" s="195">
        <f>SUM(D10*42)</f>
        <v>1195839.54</v>
      </c>
      <c r="I10" s="196">
        <v>0</v>
      </c>
      <c r="J10" s="197">
        <v>0.48</v>
      </c>
      <c r="K10" s="65"/>
      <c r="L10" s="65">
        <v>0.48</v>
      </c>
      <c r="M10" s="198"/>
      <c r="P10" s="189"/>
      <c r="Q10" s="199"/>
      <c r="R10" s="200"/>
    </row>
    <row r="11" spans="1:18" ht="14.25" customHeight="1">
      <c r="A11" s="40">
        <v>46204</v>
      </c>
      <c r="B11" s="190"/>
      <c r="C11" s="190">
        <v>0</v>
      </c>
      <c r="D11" s="190"/>
      <c r="E11" s="190">
        <v>0</v>
      </c>
      <c r="F11" s="191">
        <f>SUM(B11*42)</f>
        <v>0</v>
      </c>
      <c r="G11" s="191">
        <v>0</v>
      </c>
      <c r="H11" s="191">
        <f>SUM(D11*42)</f>
        <v>0</v>
      </c>
      <c r="I11" s="192">
        <v>0</v>
      </c>
      <c r="J11" s="201"/>
      <c r="K11" s="55"/>
      <c r="L11" s="55"/>
      <c r="M11" s="188"/>
      <c r="P11" s="189"/>
    </row>
    <row r="12" spans="1:18" ht="14.25" customHeight="1">
      <c r="A12" s="40">
        <v>46235</v>
      </c>
      <c r="B12" s="190"/>
      <c r="C12" s="41">
        <v>0</v>
      </c>
      <c r="D12" s="190"/>
      <c r="E12" s="190">
        <v>0</v>
      </c>
      <c r="F12" s="191">
        <f>SUM(B12*42)</f>
        <v>0</v>
      </c>
      <c r="G12" s="191">
        <v>0</v>
      </c>
      <c r="H12" s="191">
        <f>SUM(D12*42)</f>
        <v>0</v>
      </c>
      <c r="I12" s="192">
        <v>0</v>
      </c>
      <c r="J12" s="201"/>
      <c r="K12" s="55"/>
      <c r="L12" s="55"/>
      <c r="M12" s="188"/>
      <c r="P12" s="189"/>
    </row>
    <row r="13" spans="1:18" ht="14.25" customHeight="1">
      <c r="A13" s="40">
        <v>46266</v>
      </c>
      <c r="B13" s="190"/>
      <c r="C13" s="190">
        <v>0</v>
      </c>
      <c r="D13" s="190"/>
      <c r="E13" s="190">
        <v>0</v>
      </c>
      <c r="F13" s="191">
        <f>SUM(B13*42)</f>
        <v>0</v>
      </c>
      <c r="G13" s="191">
        <v>0</v>
      </c>
      <c r="H13" s="191">
        <f>SUM(D13*42)</f>
        <v>0</v>
      </c>
      <c r="I13" s="192">
        <v>0</v>
      </c>
      <c r="J13" s="201"/>
      <c r="K13" s="55"/>
      <c r="L13" s="55"/>
      <c r="M13" s="188"/>
      <c r="O13" s="200"/>
      <c r="P13" s="199"/>
    </row>
    <row r="14" spans="1:18" ht="14.25" customHeight="1">
      <c r="A14" s="40">
        <v>46296</v>
      </c>
      <c r="B14" s="190"/>
      <c r="C14" s="190">
        <v>0</v>
      </c>
      <c r="D14" s="190"/>
      <c r="E14" s="190">
        <v>0</v>
      </c>
      <c r="F14" s="191">
        <f>SUM(B14*42)</f>
        <v>0</v>
      </c>
      <c r="G14" s="191">
        <v>0</v>
      </c>
      <c r="H14" s="191">
        <f>SUM(D14*42)</f>
        <v>0</v>
      </c>
      <c r="I14" s="192">
        <v>0</v>
      </c>
      <c r="J14" s="201"/>
      <c r="K14" s="55"/>
      <c r="L14" s="55"/>
      <c r="M14" s="188"/>
    </row>
    <row r="15" spans="1:18" ht="14.25" customHeight="1">
      <c r="A15" s="40">
        <v>46327</v>
      </c>
      <c r="B15" s="190"/>
      <c r="C15" s="190">
        <v>0</v>
      </c>
      <c r="D15" s="190"/>
      <c r="E15" s="190">
        <v>0</v>
      </c>
      <c r="F15" s="191">
        <f>SUM(B15*42)</f>
        <v>0</v>
      </c>
      <c r="G15" s="191">
        <v>0</v>
      </c>
      <c r="H15" s="191">
        <f>SUM(D15*42)</f>
        <v>0</v>
      </c>
      <c r="I15" s="192">
        <v>0</v>
      </c>
      <c r="J15" s="201"/>
      <c r="K15" s="55"/>
      <c r="L15" s="55"/>
      <c r="M15" s="188"/>
    </row>
    <row r="16" spans="1:18" ht="14.25" customHeight="1">
      <c r="A16" s="40">
        <v>46357</v>
      </c>
      <c r="B16" s="202"/>
      <c r="C16" s="202">
        <v>0</v>
      </c>
      <c r="D16" s="202"/>
      <c r="E16" s="202">
        <v>0</v>
      </c>
      <c r="F16" s="203">
        <f>SUM(B16*42)</f>
        <v>0</v>
      </c>
      <c r="G16" s="203">
        <v>0</v>
      </c>
      <c r="H16" s="203">
        <f>SUM(D16*42)</f>
        <v>0</v>
      </c>
      <c r="I16" s="204">
        <v>0</v>
      </c>
      <c r="J16" s="201"/>
      <c r="K16" s="55"/>
      <c r="L16" s="55"/>
      <c r="M16" s="188"/>
    </row>
    <row r="17" spans="1:17" ht="14.25" customHeight="1">
      <c r="A17" s="24" t="s">
        <v>20</v>
      </c>
      <c r="B17" s="60">
        <f>SUM(B5:B16)</f>
        <v>419.41</v>
      </c>
      <c r="C17" s="60">
        <f>SUM(C5:C16)</f>
        <v>0</v>
      </c>
      <c r="D17" s="60">
        <f>SUM(D5:D16)</f>
        <v>28472.37</v>
      </c>
      <c r="E17" s="60">
        <f>SUM(E5:E16)</f>
        <v>0</v>
      </c>
      <c r="F17" s="60">
        <f>SUM(F5:F16)</f>
        <v>17615.22</v>
      </c>
      <c r="G17" s="60">
        <f>SUM(G5:G16)</f>
        <v>0</v>
      </c>
      <c r="H17" s="60">
        <f>SUM(H5:H16)</f>
        <v>1195839.54</v>
      </c>
      <c r="I17" s="205">
        <f>SUM(I5:I16)</f>
        <v>0</v>
      </c>
      <c r="J17" s="206">
        <f>AVERAGE(J5:J16)</f>
        <v>0.48</v>
      </c>
      <c r="K17" s="206">
        <f>SUM(K5:K16)</f>
        <v>0</v>
      </c>
      <c r="L17" s="206">
        <f>AVERAGE(L5:L16)</f>
        <v>0.48</v>
      </c>
      <c r="M17" s="206" t="str">
        <f>IFERROR(AVERAGE(M5:M16),"n.a.")</f>
        <v>n.a.</v>
      </c>
    </row>
    <row r="18" spans="1:17" ht="14.25" customHeight="1">
      <c r="G18" s="207"/>
    </row>
    <row r="20" spans="1:17" ht="14.25" customHeight="1">
      <c r="A20" s="566" t="s">
        <v>164</v>
      </c>
      <c r="B20" s="566"/>
      <c r="C20" s="566"/>
      <c r="D20" s="566"/>
      <c r="E20" s="566"/>
      <c r="F20" s="566"/>
      <c r="G20" s="566"/>
      <c r="H20" s="566"/>
      <c r="I20" s="566"/>
      <c r="M20" s="566" t="s">
        <v>165</v>
      </c>
      <c r="N20" s="566"/>
      <c r="O20" s="566"/>
      <c r="P20" s="566"/>
      <c r="Q20" s="566"/>
    </row>
    <row r="21" spans="1:17" ht="14.25" customHeight="1">
      <c r="A21" s="580" t="s">
        <v>59</v>
      </c>
      <c r="B21" s="566" t="s">
        <v>58</v>
      </c>
      <c r="C21" s="566"/>
      <c r="D21" s="566" t="s">
        <v>56</v>
      </c>
      <c r="E21" s="566"/>
      <c r="F21" s="566" t="s">
        <v>57</v>
      </c>
      <c r="G21" s="566"/>
      <c r="H21" s="566" t="s">
        <v>166</v>
      </c>
      <c r="I21" s="566"/>
      <c r="M21" s="581" t="s">
        <v>59</v>
      </c>
      <c r="N21" s="568" t="s">
        <v>68</v>
      </c>
      <c r="O21" s="568"/>
      <c r="P21" s="569" t="s">
        <v>57</v>
      </c>
      <c r="Q21" s="569"/>
    </row>
    <row r="22" spans="1:17" ht="14.25" customHeight="1">
      <c r="A22" s="580"/>
      <c r="B22" s="24" t="s">
        <v>167</v>
      </c>
      <c r="C22" s="24" t="s">
        <v>168</v>
      </c>
      <c r="D22" s="24" t="s">
        <v>167</v>
      </c>
      <c r="E22" s="24" t="s">
        <v>168</v>
      </c>
      <c r="F22" s="24" t="s">
        <v>167</v>
      </c>
      <c r="G22" s="25" t="s">
        <v>168</v>
      </c>
      <c r="H22" s="24" t="s">
        <v>167</v>
      </c>
      <c r="I22" s="24" t="s">
        <v>168</v>
      </c>
      <c r="M22" s="581"/>
      <c r="N22" s="30" t="s">
        <v>69</v>
      </c>
      <c r="O22" s="29" t="s">
        <v>70</v>
      </c>
      <c r="P22" s="30" t="s">
        <v>69</v>
      </c>
      <c r="Q22" s="31" t="s">
        <v>70</v>
      </c>
    </row>
    <row r="23" spans="1:17" ht="14.25" customHeight="1">
      <c r="A23" s="32">
        <f>A5</f>
        <v>46023</v>
      </c>
      <c r="B23" s="185"/>
      <c r="C23" s="185"/>
      <c r="D23" s="208"/>
      <c r="E23" s="208"/>
      <c r="F23" s="209"/>
      <c r="G23" s="209"/>
      <c r="H23" s="185"/>
      <c r="I23" s="185"/>
      <c r="M23" s="32">
        <f>A5</f>
        <v>46023</v>
      </c>
      <c r="N23" s="69"/>
      <c r="O23" s="69"/>
      <c r="P23" s="210"/>
      <c r="Q23" s="210"/>
    </row>
    <row r="24" spans="1:17" ht="14.25" customHeight="1">
      <c r="A24" s="40">
        <f>A6</f>
        <v>46054</v>
      </c>
      <c r="B24" s="190"/>
      <c r="C24" s="190"/>
      <c r="D24" s="211"/>
      <c r="E24" s="211"/>
      <c r="F24" s="212"/>
      <c r="G24" s="212"/>
      <c r="H24" s="190"/>
      <c r="I24" s="190"/>
      <c r="M24" s="40">
        <f>A6</f>
        <v>46054</v>
      </c>
      <c r="N24" s="71"/>
      <c r="O24" s="71"/>
      <c r="P24" s="213"/>
      <c r="Q24" s="213"/>
    </row>
    <row r="25" spans="1:17" ht="14.25" customHeight="1">
      <c r="A25" s="40">
        <f>A7</f>
        <v>46082</v>
      </c>
      <c r="B25" s="190"/>
      <c r="C25" s="190"/>
      <c r="D25" s="211"/>
      <c r="E25" s="211"/>
      <c r="F25" s="212"/>
      <c r="G25" s="212"/>
      <c r="H25" s="190"/>
      <c r="I25" s="190"/>
      <c r="M25" s="40">
        <f>A7</f>
        <v>46082</v>
      </c>
      <c r="N25" s="71"/>
      <c r="O25" s="71"/>
      <c r="P25" s="213"/>
      <c r="Q25" s="213"/>
    </row>
    <row r="26" spans="1:17" ht="14.25" customHeight="1">
      <c r="A26" s="40">
        <f>A8</f>
        <v>46113</v>
      </c>
      <c r="B26" s="190"/>
      <c r="C26" s="190"/>
      <c r="D26" s="211"/>
      <c r="E26" s="211"/>
      <c r="F26" s="212"/>
      <c r="G26" s="212"/>
      <c r="H26" s="190"/>
      <c r="I26" s="190"/>
      <c r="M26" s="40">
        <f>A8</f>
        <v>46113</v>
      </c>
      <c r="N26" s="71"/>
      <c r="O26" s="71"/>
      <c r="P26" s="213"/>
      <c r="Q26" s="213"/>
    </row>
    <row r="27" spans="1:17" ht="14.25" customHeight="1">
      <c r="A27" s="40">
        <f>A9</f>
        <v>46143</v>
      </c>
      <c r="B27" s="190"/>
      <c r="C27" s="190"/>
      <c r="D27" s="211"/>
      <c r="E27" s="211"/>
      <c r="F27" s="212"/>
      <c r="G27" s="212"/>
      <c r="H27" s="190"/>
      <c r="I27" s="190"/>
      <c r="M27" s="40">
        <f>A9</f>
        <v>46143</v>
      </c>
      <c r="N27" s="71"/>
      <c r="O27" s="71"/>
      <c r="P27" s="213"/>
      <c r="Q27" s="213"/>
    </row>
    <row r="28" spans="1:17" ht="14.25" customHeight="1">
      <c r="A28" s="48">
        <f>A10</f>
        <v>46174</v>
      </c>
      <c r="B28" s="194">
        <v>10935.17</v>
      </c>
      <c r="C28" s="194">
        <v>0</v>
      </c>
      <c r="D28" s="214">
        <f>SUM(B28*42)</f>
        <v>459277.14</v>
      </c>
      <c r="E28" s="214">
        <f>SUM(C28*42)</f>
        <v>0</v>
      </c>
      <c r="F28" s="215">
        <v>6.9999999999999999E-4</v>
      </c>
      <c r="G28" s="215">
        <v>6.9999999999999999E-4</v>
      </c>
      <c r="H28" s="194">
        <v>667.64</v>
      </c>
      <c r="I28" s="194">
        <v>0</v>
      </c>
      <c r="M28" s="48">
        <f>A10</f>
        <v>46174</v>
      </c>
      <c r="N28" s="73">
        <v>949989652.37</v>
      </c>
      <c r="O28" s="73">
        <v>916670375.03999996</v>
      </c>
      <c r="P28" s="216">
        <v>1E-3</v>
      </c>
      <c r="Q28" s="216">
        <v>1E-3</v>
      </c>
    </row>
    <row r="29" spans="1:17" ht="14.25" customHeight="1">
      <c r="A29" s="40">
        <f>A11</f>
        <v>46204</v>
      </c>
      <c r="B29" s="190"/>
      <c r="C29" s="190"/>
      <c r="D29" s="211">
        <f>SUM(B29*42)</f>
        <v>0</v>
      </c>
      <c r="E29" s="211">
        <f>SUM(C29*42)</f>
        <v>0</v>
      </c>
      <c r="F29" s="212"/>
      <c r="G29" s="212"/>
      <c r="H29" s="190"/>
      <c r="I29" s="190"/>
      <c r="M29" s="40">
        <f>A11</f>
        <v>46204</v>
      </c>
      <c r="N29" s="217"/>
      <c r="O29" s="217"/>
      <c r="P29" s="213"/>
      <c r="Q29" s="213"/>
    </row>
    <row r="30" spans="1:17" ht="14.25" customHeight="1">
      <c r="A30" s="40">
        <f>A12</f>
        <v>46235</v>
      </c>
      <c r="B30" s="190"/>
      <c r="C30" s="190"/>
      <c r="D30" s="211">
        <f>SUM(B30*42)</f>
        <v>0</v>
      </c>
      <c r="E30" s="211">
        <f>SUM(C30*42)</f>
        <v>0</v>
      </c>
      <c r="F30" s="212"/>
      <c r="G30" s="212"/>
      <c r="H30" s="190"/>
      <c r="I30" s="190"/>
      <c r="M30" s="40">
        <f>A12</f>
        <v>46235</v>
      </c>
      <c r="N30" s="217"/>
      <c r="O30" s="217"/>
      <c r="P30" s="213"/>
      <c r="Q30" s="213"/>
    </row>
    <row r="31" spans="1:17" ht="14.25" customHeight="1">
      <c r="A31" s="40">
        <f>A13</f>
        <v>46266</v>
      </c>
      <c r="B31" s="41"/>
      <c r="C31" s="190"/>
      <c r="D31" s="211">
        <f>SUM(B31*42)</f>
        <v>0</v>
      </c>
      <c r="E31" s="211">
        <f>SUM(C31*42)</f>
        <v>0</v>
      </c>
      <c r="F31" s="212"/>
      <c r="G31" s="212"/>
      <c r="H31" s="190"/>
      <c r="I31" s="190"/>
      <c r="M31" s="40">
        <f>A13</f>
        <v>46266</v>
      </c>
      <c r="N31" s="217"/>
      <c r="O31" s="217"/>
      <c r="P31" s="213"/>
      <c r="Q31" s="213"/>
    </row>
    <row r="32" spans="1:17" ht="14.25" customHeight="1">
      <c r="A32" s="40">
        <f>A14</f>
        <v>46296</v>
      </c>
      <c r="B32" s="190"/>
      <c r="C32" s="190"/>
      <c r="D32" s="211">
        <f>SUM(B32*42)</f>
        <v>0</v>
      </c>
      <c r="E32" s="211">
        <f>SUM(C32*42)</f>
        <v>0</v>
      </c>
      <c r="F32" s="212"/>
      <c r="G32" s="212"/>
      <c r="H32" s="190"/>
      <c r="I32" s="190"/>
      <c r="M32" s="40">
        <f>A14</f>
        <v>46296</v>
      </c>
      <c r="N32" s="217"/>
      <c r="O32" s="217"/>
      <c r="P32" s="213"/>
      <c r="Q32" s="213"/>
    </row>
    <row r="33" spans="1:17" ht="14.25" customHeight="1">
      <c r="A33" s="40">
        <f>A15</f>
        <v>46327</v>
      </c>
      <c r="B33" s="190"/>
      <c r="C33" s="190"/>
      <c r="D33" s="211">
        <f>SUM(B33*42)</f>
        <v>0</v>
      </c>
      <c r="E33" s="211">
        <f>SUM(C33*42)</f>
        <v>0</v>
      </c>
      <c r="F33" s="212"/>
      <c r="G33" s="212"/>
      <c r="H33" s="190"/>
      <c r="I33" s="190"/>
      <c r="M33" s="40">
        <f>A15</f>
        <v>46327</v>
      </c>
      <c r="N33" s="217"/>
      <c r="O33" s="217"/>
      <c r="P33" s="213"/>
      <c r="Q33" s="213"/>
    </row>
    <row r="34" spans="1:17" ht="14.25" customHeight="1">
      <c r="A34" s="66">
        <f>A16</f>
        <v>46357</v>
      </c>
      <c r="B34" s="202"/>
      <c r="C34" s="218"/>
      <c r="D34" s="219">
        <f>SUM(B34*42)</f>
        <v>0</v>
      </c>
      <c r="E34" s="219">
        <f>SUM(C34*42)</f>
        <v>0</v>
      </c>
      <c r="F34" s="220"/>
      <c r="G34" s="220"/>
      <c r="H34" s="202"/>
      <c r="I34" s="202"/>
      <c r="M34" s="66">
        <f>A16</f>
        <v>46357</v>
      </c>
      <c r="N34" s="221"/>
      <c r="O34" s="221"/>
      <c r="P34" s="222"/>
      <c r="Q34" s="222"/>
    </row>
    <row r="35" spans="1:17" ht="14.25" customHeight="1">
      <c r="A35" s="26" t="s">
        <v>20</v>
      </c>
      <c r="B35" s="223">
        <f>SUM(B23:B34)</f>
        <v>10935.17</v>
      </c>
      <c r="C35" s="223">
        <f>SUM(C23:C34)</f>
        <v>0</v>
      </c>
      <c r="D35" s="223">
        <f>SUM(D23:D34)</f>
        <v>459277.14</v>
      </c>
      <c r="E35" s="223">
        <f>SUM(E23:E34)</f>
        <v>0</v>
      </c>
      <c r="F35" s="206">
        <f>AVERAGE(F23:F34)</f>
        <v>6.9999999999999999E-4</v>
      </c>
      <c r="G35" s="224">
        <f>AVERAGE(G23:G34)</f>
        <v>6.9999999999999999E-4</v>
      </c>
      <c r="H35" s="225">
        <f>SUM(H23:H34)</f>
        <v>667.64</v>
      </c>
      <c r="I35" s="225">
        <f>SUM(I23:I34)</f>
        <v>0</v>
      </c>
      <c r="M35" s="24" t="s">
        <v>71</v>
      </c>
      <c r="N35" s="79">
        <f>SUM(N23:N34)</f>
        <v>949989652.37</v>
      </c>
      <c r="O35" s="79">
        <f>SUM(O23:O34)</f>
        <v>916670375.03999996</v>
      </c>
      <c r="P35" s="80">
        <f>0</f>
        <v>0</v>
      </c>
      <c r="Q35" s="80">
        <f>0</f>
        <v>0</v>
      </c>
    </row>
    <row r="37" spans="1:17" ht="14.25" customHeight="1">
      <c r="E37" s="207"/>
    </row>
  </sheetData>
  <mergeCells count="15">
    <mergeCell ref="A2:M2"/>
    <mergeCell ref="A3:A4"/>
    <mergeCell ref="B3:E3"/>
    <mergeCell ref="F3:I3"/>
    <mergeCell ref="J3:M3"/>
    <mergeCell ref="A20:I20"/>
    <mergeCell ref="M20:Q20"/>
    <mergeCell ref="A21:A22"/>
    <mergeCell ref="B21:C21"/>
    <mergeCell ref="D21:E21"/>
    <mergeCell ref="F21:G21"/>
    <mergeCell ref="H21:I21"/>
    <mergeCell ref="M21:M22"/>
    <mergeCell ref="N21:O21"/>
    <mergeCell ref="P21:Q21"/>
  </mergeCells>
  <pageMargins left="0.7" right="0.7" top="0.75" bottom="0.75" header="0.511811023622047" footer="0.511811023622047"/>
  <pageSetup paperSize="9" orientation="portrait" horizontalDpi="300" verticalDpi="300"/>
  <legacy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S102"/>
  <sheetViews>
    <sheetView zoomScaleNormal="100" workbookViewId="0"/>
  </sheetViews>
  <sheetFormatPr defaultColWidth="8.7109375" defaultRowHeight="15"/>
  <cols>
    <col min="1" max="1" width="14.5703125" customWidth="1"/>
    <col min="2" max="2" width="14.7109375" customWidth="1"/>
    <col min="3" max="3" width="10.28515625" customWidth="1"/>
    <col min="4" max="4" width="16.42578125" customWidth="1"/>
    <col min="6" max="6" width="10" customWidth="1"/>
    <col min="7" max="7" width="4.85546875" customWidth="1"/>
    <col min="9" max="9" width="6.7109375" customWidth="1"/>
    <col min="11" max="11" width="3.140625" customWidth="1"/>
  </cols>
  <sheetData>
    <row r="1" spans="1:19" ht="14.25" customHeight="1">
      <c r="A1" s="574" t="s">
        <v>169</v>
      </c>
      <c r="B1" s="574"/>
      <c r="C1" s="574"/>
      <c r="D1" s="574"/>
      <c r="E1" s="574"/>
      <c r="F1" s="574"/>
      <c r="G1" s="574"/>
      <c r="H1" s="574"/>
    </row>
    <row r="3" spans="1:19" ht="14.25" customHeight="1">
      <c r="A3" s="226" t="s">
        <v>170</v>
      </c>
      <c r="B3" s="118"/>
      <c r="C3" s="118"/>
      <c r="D3" s="85"/>
      <c r="E3" s="85"/>
      <c r="F3" s="85"/>
      <c r="G3" s="85"/>
      <c r="H3" s="85"/>
    </row>
    <row r="4" spans="1:19" ht="14.25" customHeight="1">
      <c r="A4" s="226"/>
      <c r="B4" s="118"/>
      <c r="C4" s="118"/>
      <c r="D4" s="85"/>
      <c r="E4" s="85"/>
      <c r="F4" s="85"/>
      <c r="G4" s="85"/>
      <c r="H4" s="85"/>
    </row>
    <row r="5" spans="1:19" ht="14.25" customHeight="1">
      <c r="A5" s="85" t="s">
        <v>12</v>
      </c>
      <c r="B5" s="85" t="s">
        <v>171</v>
      </c>
      <c r="C5" s="85"/>
      <c r="D5" s="85" t="s">
        <v>172</v>
      </c>
      <c r="E5" s="85"/>
      <c r="F5" s="85"/>
      <c r="G5" s="85"/>
      <c r="H5" s="85"/>
    </row>
    <row r="6" spans="1:19" ht="14.25" customHeight="1">
      <c r="A6" s="85" t="s">
        <v>11</v>
      </c>
      <c r="B6" s="85" t="s">
        <v>173</v>
      </c>
      <c r="C6" s="85"/>
      <c r="D6" s="85" t="s">
        <v>174</v>
      </c>
      <c r="E6" s="85"/>
      <c r="F6" s="85"/>
      <c r="G6" s="85"/>
      <c r="H6" s="85"/>
    </row>
    <row r="7" spans="1:19" ht="14.25" customHeight="1">
      <c r="A7" s="85" t="s">
        <v>13</v>
      </c>
      <c r="B7" s="85" t="s">
        <v>175</v>
      </c>
      <c r="C7" s="85"/>
      <c r="D7" s="85" t="s">
        <v>176</v>
      </c>
      <c r="E7" s="85"/>
      <c r="F7" s="85"/>
      <c r="G7" s="85"/>
      <c r="H7" s="85"/>
    </row>
    <row r="8" spans="1:19" ht="14.25" customHeight="1">
      <c r="A8" s="85" t="s">
        <v>36</v>
      </c>
      <c r="B8" s="85" t="s">
        <v>177</v>
      </c>
      <c r="C8" s="85"/>
      <c r="D8" s="85"/>
      <c r="E8" s="85"/>
      <c r="F8" s="85"/>
      <c r="G8" s="85"/>
      <c r="H8" s="85"/>
    </row>
    <row r="9" spans="1:19" ht="14.25" customHeight="1">
      <c r="A9" s="85" t="s">
        <v>178</v>
      </c>
      <c r="B9" s="85" t="s">
        <v>179</v>
      </c>
      <c r="C9" s="85"/>
      <c r="D9" s="85" t="s">
        <v>180</v>
      </c>
      <c r="E9" s="85"/>
      <c r="F9" s="85"/>
      <c r="G9" s="85"/>
      <c r="H9" s="85"/>
    </row>
    <row r="10" spans="1:19" ht="14.25" customHeight="1">
      <c r="A10" s="85" t="s">
        <v>181</v>
      </c>
      <c r="B10" s="85" t="s">
        <v>182</v>
      </c>
      <c r="C10" s="85"/>
      <c r="D10" s="85" t="s">
        <v>183</v>
      </c>
      <c r="E10" s="85"/>
      <c r="F10" s="85"/>
      <c r="G10" s="85"/>
      <c r="H10" s="85"/>
    </row>
    <row r="11" spans="1:19" ht="14.25" customHeight="1">
      <c r="A11" s="85" t="s">
        <v>16</v>
      </c>
      <c r="B11" s="85" t="s">
        <v>184</v>
      </c>
      <c r="C11" s="85"/>
      <c r="D11" s="85" t="s">
        <v>176</v>
      </c>
      <c r="E11" s="85"/>
      <c r="F11" s="85"/>
      <c r="G11" s="85"/>
      <c r="H11" s="85"/>
    </row>
    <row r="12" spans="1:19" ht="14.25" customHeight="1">
      <c r="A12" s="85" t="s">
        <v>15</v>
      </c>
      <c r="B12" s="85" t="s">
        <v>185</v>
      </c>
      <c r="C12" s="85"/>
      <c r="D12" s="85" t="s">
        <v>176</v>
      </c>
      <c r="E12" s="85"/>
      <c r="F12" s="85"/>
      <c r="G12" s="85"/>
      <c r="H12" s="85"/>
    </row>
    <row r="13" spans="1:19" ht="14.25" customHeight="1">
      <c r="A13" s="105" t="s">
        <v>17</v>
      </c>
      <c r="B13" s="85" t="s">
        <v>186</v>
      </c>
      <c r="C13" s="85"/>
      <c r="D13" s="85"/>
      <c r="E13" s="85"/>
      <c r="F13" s="85"/>
      <c r="G13" s="85"/>
      <c r="H13" s="85"/>
    </row>
    <row r="14" spans="1:19" ht="14.25" customHeight="1">
      <c r="A14" s="105" t="s">
        <v>18</v>
      </c>
      <c r="B14" s="85" t="s">
        <v>187</v>
      </c>
      <c r="C14" s="85"/>
      <c r="D14" s="85" t="s">
        <v>188</v>
      </c>
      <c r="E14" s="85"/>
      <c r="F14" s="85"/>
      <c r="G14" s="85"/>
      <c r="H14" s="85"/>
      <c r="R14">
        <v>24.891205852956599</v>
      </c>
      <c r="S14" t="s">
        <v>123</v>
      </c>
    </row>
    <row r="16" spans="1:19" ht="14.25" customHeight="1">
      <c r="A16" s="85" t="s">
        <v>107</v>
      </c>
      <c r="B16" s="123">
        <f>'San Juan'!F10+'San Juan'!G10</f>
        <v>17615.22</v>
      </c>
      <c r="C16" s="85" t="s">
        <v>189</v>
      </c>
      <c r="D16" s="85"/>
      <c r="E16" s="85"/>
      <c r="F16" s="85"/>
      <c r="G16" s="85"/>
      <c r="H16" s="85"/>
    </row>
    <row r="17" spans="1:9" ht="14.25" customHeight="1">
      <c r="A17" s="85" t="s">
        <v>107</v>
      </c>
      <c r="B17" s="123">
        <f>+'San Juan'!H10+'San Juan'!I10</f>
        <v>1195839.54</v>
      </c>
      <c r="C17" s="85" t="s">
        <v>190</v>
      </c>
      <c r="D17" s="85"/>
      <c r="E17" s="85"/>
      <c r="F17" s="85"/>
      <c r="G17" s="85"/>
      <c r="H17" s="85"/>
    </row>
    <row r="18" spans="1:9" ht="9" customHeight="1">
      <c r="A18" s="85" t="s">
        <v>191</v>
      </c>
      <c r="B18" s="227">
        <f>IF(MAX('San Juan'!J10:M10)&gt;0,AVERAGE('San Juan'!J10:M10),0)</f>
        <v>0.48</v>
      </c>
      <c r="C18" s="85"/>
      <c r="D18" s="228" t="s">
        <v>192</v>
      </c>
      <c r="E18" s="85"/>
      <c r="F18" s="85"/>
      <c r="G18" s="85"/>
      <c r="H18" s="85"/>
    </row>
    <row r="19" spans="1:9" ht="14.25" customHeight="1">
      <c r="A19" s="85"/>
      <c r="B19" s="123"/>
      <c r="C19" s="85"/>
      <c r="D19" s="85"/>
      <c r="E19" s="85"/>
      <c r="F19" s="85"/>
      <c r="G19" s="85"/>
      <c r="H19" s="85"/>
    </row>
    <row r="21" spans="1:9" ht="14.25" customHeight="1">
      <c r="A21" s="85" t="s">
        <v>193</v>
      </c>
      <c r="B21" s="85"/>
      <c r="C21" s="85"/>
      <c r="D21" s="85"/>
      <c r="E21" s="85"/>
      <c r="F21" s="85"/>
      <c r="G21" s="85"/>
      <c r="H21" s="85"/>
      <c r="I21" s="85"/>
    </row>
    <row r="23" spans="1:9" ht="14.25" customHeight="1">
      <c r="A23" s="108" t="s">
        <v>86</v>
      </c>
      <c r="B23" s="112">
        <v>0.04</v>
      </c>
      <c r="C23" s="110" t="s">
        <v>141</v>
      </c>
      <c r="D23" s="111">
        <f>B16+B17</f>
        <v>1213454.76</v>
      </c>
      <c r="E23" s="110" t="s">
        <v>88</v>
      </c>
      <c r="F23" s="575" t="s">
        <v>90</v>
      </c>
      <c r="G23" s="575"/>
      <c r="H23" s="112">
        <v>0.15</v>
      </c>
      <c r="I23" s="229" t="s">
        <v>140</v>
      </c>
    </row>
    <row r="24" spans="1:9" ht="14.25" customHeight="1">
      <c r="A24" s="85"/>
      <c r="B24" s="583" t="s">
        <v>140</v>
      </c>
      <c r="C24" s="583"/>
      <c r="D24" s="576" t="s">
        <v>59</v>
      </c>
      <c r="E24" s="576"/>
      <c r="F24" s="113">
        <v>2000</v>
      </c>
      <c r="G24" s="107" t="s">
        <v>141</v>
      </c>
      <c r="H24" s="583" t="s">
        <v>88</v>
      </c>
      <c r="I24" s="583"/>
    </row>
    <row r="26" spans="1:9" ht="14.25" customHeight="1">
      <c r="A26" s="108" t="s">
        <v>86</v>
      </c>
      <c r="B26" s="123">
        <f>((B23*D23*H23)/F24)</f>
        <v>3.6403642799999996</v>
      </c>
      <c r="C26" s="115" t="s">
        <v>90</v>
      </c>
      <c r="D26" s="85"/>
      <c r="E26" s="85"/>
      <c r="F26" s="85"/>
      <c r="G26" s="85"/>
      <c r="H26" s="85"/>
      <c r="I26" s="85"/>
    </row>
    <row r="27" spans="1:9" ht="14.25" customHeight="1">
      <c r="A27" s="85"/>
      <c r="B27" s="85"/>
      <c r="C27" s="118" t="s">
        <v>59</v>
      </c>
      <c r="D27" s="85"/>
      <c r="E27" s="85"/>
      <c r="F27" s="85"/>
      <c r="G27" s="85"/>
      <c r="H27" s="85"/>
      <c r="I27" s="85"/>
    </row>
    <row r="29" spans="1:9" ht="14.25" customHeight="1">
      <c r="A29" s="85" t="s">
        <v>85</v>
      </c>
      <c r="B29" s="85"/>
      <c r="C29" s="85"/>
      <c r="D29" s="85"/>
      <c r="E29" s="85"/>
      <c r="F29" s="85"/>
      <c r="G29" s="85"/>
      <c r="H29" s="85"/>
      <c r="I29" s="85"/>
    </row>
    <row r="31" spans="1:9" ht="14.25" customHeight="1">
      <c r="A31" s="108" t="s">
        <v>86</v>
      </c>
      <c r="B31" s="112">
        <v>0.03</v>
      </c>
      <c r="C31" s="110" t="s">
        <v>141</v>
      </c>
      <c r="D31" s="111">
        <f>D23</f>
        <v>1213454.76</v>
      </c>
      <c r="E31" s="110" t="s">
        <v>88</v>
      </c>
      <c r="F31" s="575" t="s">
        <v>90</v>
      </c>
      <c r="G31" s="575"/>
      <c r="H31" s="112">
        <v>0.15</v>
      </c>
      <c r="I31" s="229" t="s">
        <v>140</v>
      </c>
    </row>
    <row r="32" spans="1:9" ht="14.25" customHeight="1">
      <c r="A32" s="85"/>
      <c r="B32" s="583" t="s">
        <v>140</v>
      </c>
      <c r="C32" s="583"/>
      <c r="D32" s="576" t="s">
        <v>59</v>
      </c>
      <c r="E32" s="576"/>
      <c r="F32" s="113">
        <v>2000</v>
      </c>
      <c r="G32" s="107" t="s">
        <v>141</v>
      </c>
      <c r="H32" s="583" t="s">
        <v>88</v>
      </c>
      <c r="I32" s="583"/>
    </row>
    <row r="34" spans="1:11" ht="14.25" customHeight="1">
      <c r="A34" s="108" t="s">
        <v>86</v>
      </c>
      <c r="B34" s="123">
        <f>((B31*D31*H31)/F32)</f>
        <v>2.73027321</v>
      </c>
      <c r="C34" s="115" t="s">
        <v>90</v>
      </c>
      <c r="D34" s="85"/>
      <c r="E34" s="85"/>
      <c r="F34" s="85"/>
      <c r="G34" s="85"/>
      <c r="H34" s="85"/>
      <c r="I34" s="85"/>
    </row>
    <row r="35" spans="1:11" ht="14.25" customHeight="1">
      <c r="A35" s="85"/>
      <c r="B35" s="85"/>
      <c r="C35" s="118" t="s">
        <v>59</v>
      </c>
      <c r="D35" s="85"/>
      <c r="E35" s="85"/>
      <c r="F35" s="85"/>
      <c r="G35" s="85"/>
      <c r="H35" s="85"/>
      <c r="I35" s="85"/>
    </row>
    <row r="38" spans="1:11" ht="14.25" customHeight="1">
      <c r="A38" s="85" t="s">
        <v>194</v>
      </c>
      <c r="B38" s="85"/>
      <c r="C38" s="85"/>
      <c r="D38" s="85"/>
      <c r="E38" s="85"/>
      <c r="F38" s="85"/>
      <c r="G38" s="85"/>
      <c r="H38" s="85"/>
      <c r="I38" s="85"/>
    </row>
    <row r="40" spans="1:11" ht="14.25" customHeight="1">
      <c r="A40" s="108" t="s">
        <v>86</v>
      </c>
      <c r="B40" s="230">
        <v>4.0500000000000001E-2</v>
      </c>
      <c r="C40" s="110" t="s">
        <v>141</v>
      </c>
      <c r="D40" s="111">
        <f>D31</f>
        <v>1213454.76</v>
      </c>
      <c r="E40" s="110" t="s">
        <v>88</v>
      </c>
      <c r="F40" s="575" t="s">
        <v>90</v>
      </c>
      <c r="G40" s="575"/>
      <c r="H40" s="112">
        <v>0.15</v>
      </c>
      <c r="I40" s="229" t="s">
        <v>140</v>
      </c>
    </row>
    <row r="41" spans="1:11" ht="14.25" customHeight="1">
      <c r="A41" s="85"/>
      <c r="B41" s="583" t="s">
        <v>140</v>
      </c>
      <c r="C41" s="583"/>
      <c r="D41" s="576" t="s">
        <v>59</v>
      </c>
      <c r="E41" s="576"/>
      <c r="F41" s="113">
        <v>2000</v>
      </c>
      <c r="G41" s="107" t="s">
        <v>141</v>
      </c>
      <c r="H41" s="583" t="s">
        <v>88</v>
      </c>
      <c r="I41" s="583"/>
    </row>
    <row r="43" spans="1:11" ht="14.25" customHeight="1">
      <c r="A43" s="108" t="s">
        <v>86</v>
      </c>
      <c r="B43" s="123">
        <f>((B40*D40*H40)/F41)</f>
        <v>3.6858688335000003</v>
      </c>
      <c r="C43" s="115" t="s">
        <v>90</v>
      </c>
      <c r="D43" s="85"/>
      <c r="E43" s="85"/>
      <c r="F43" s="85"/>
      <c r="G43" s="85"/>
      <c r="H43" s="85"/>
      <c r="I43" s="85"/>
    </row>
    <row r="44" spans="1:11" ht="14.25" customHeight="1">
      <c r="A44" s="85"/>
      <c r="B44" s="85"/>
      <c r="C44" s="118" t="s">
        <v>59</v>
      </c>
      <c r="D44" s="85"/>
      <c r="E44" s="85"/>
      <c r="F44" s="85"/>
      <c r="G44" s="85"/>
      <c r="H44" s="85"/>
      <c r="I44" s="85"/>
    </row>
    <row r="45" spans="1:11" ht="14.25" customHeight="1">
      <c r="A45" s="85"/>
      <c r="B45" s="85"/>
      <c r="C45" s="118"/>
      <c r="D45" s="85"/>
      <c r="E45" s="85"/>
      <c r="F45" s="85"/>
      <c r="G45" s="85"/>
      <c r="H45" s="85"/>
      <c r="I45" s="85"/>
    </row>
    <row r="46" spans="1:11" ht="14.25" customHeight="1">
      <c r="A46" s="85" t="s">
        <v>195</v>
      </c>
      <c r="B46" s="85"/>
      <c r="C46" s="85"/>
      <c r="D46" s="85"/>
      <c r="E46" s="85"/>
      <c r="F46" s="85"/>
      <c r="G46" s="85"/>
      <c r="H46" s="85"/>
      <c r="I46" s="85"/>
      <c r="J46" s="85"/>
      <c r="K46" s="85"/>
    </row>
    <row r="47" spans="1:11" ht="14.25" customHeight="1">
      <c r="I47" s="231" t="s">
        <v>196</v>
      </c>
    </row>
    <row r="48" spans="1:11" ht="14.25" customHeight="1">
      <c r="A48" s="108" t="s">
        <v>86</v>
      </c>
      <c r="B48" s="109">
        <f>(157+5.7)*B18</f>
        <v>78.095999999999989</v>
      </c>
      <c r="C48" s="110" t="s">
        <v>141</v>
      </c>
      <c r="D48" s="111">
        <f>D40</f>
        <v>1213454.76</v>
      </c>
      <c r="E48" s="110" t="s">
        <v>88</v>
      </c>
      <c r="F48" s="575" t="s">
        <v>90</v>
      </c>
      <c r="G48" s="575"/>
    </row>
    <row r="49" spans="1:11" ht="14.25" customHeight="1">
      <c r="A49" s="85"/>
      <c r="B49" s="232">
        <v>1000</v>
      </c>
      <c r="C49" s="233" t="s">
        <v>150</v>
      </c>
      <c r="D49" s="576" t="s">
        <v>59</v>
      </c>
      <c r="E49" s="576"/>
      <c r="F49" s="113">
        <v>2000</v>
      </c>
      <c r="G49" s="107" t="s">
        <v>141</v>
      </c>
    </row>
    <row r="51" spans="1:11" ht="14.25" customHeight="1">
      <c r="A51" s="108" t="s">
        <v>86</v>
      </c>
      <c r="B51" s="123">
        <f>((B48/B49*D48)/F49)</f>
        <v>47.38298146847999</v>
      </c>
      <c r="C51" s="115" t="s">
        <v>90</v>
      </c>
      <c r="D51" s="85"/>
      <c r="E51" s="85"/>
      <c r="F51" s="85"/>
      <c r="G51" s="85"/>
      <c r="H51" s="85"/>
      <c r="I51" s="85"/>
      <c r="J51" s="85"/>
      <c r="K51" s="85"/>
    </row>
    <row r="52" spans="1:11" ht="14.25" customHeight="1">
      <c r="A52" s="85"/>
      <c r="B52" s="85"/>
      <c r="C52" s="118" t="s">
        <v>59</v>
      </c>
      <c r="D52" s="85"/>
      <c r="E52" s="85"/>
      <c r="F52" s="85"/>
      <c r="G52" s="85"/>
      <c r="H52" s="85"/>
      <c r="I52" s="85"/>
      <c r="J52" s="85"/>
      <c r="K52" s="85"/>
    </row>
    <row r="53" spans="1:11" ht="14.25" customHeight="1">
      <c r="A53" s="85"/>
      <c r="B53" s="85"/>
      <c r="C53" s="118"/>
      <c r="D53" s="85"/>
      <c r="E53" s="85"/>
      <c r="F53" s="85"/>
      <c r="G53" s="85"/>
      <c r="H53" s="85"/>
      <c r="I53" s="85"/>
      <c r="J53" s="85"/>
      <c r="K53" s="85"/>
    </row>
    <row r="54" spans="1:11" ht="14.25" customHeight="1">
      <c r="A54" s="85"/>
      <c r="B54" s="85"/>
      <c r="C54" s="118"/>
      <c r="D54" s="85"/>
      <c r="E54" s="85"/>
      <c r="F54" s="85"/>
      <c r="G54" s="85"/>
      <c r="H54" s="85"/>
      <c r="I54" s="85"/>
      <c r="J54" s="85"/>
      <c r="K54" s="85"/>
    </row>
    <row r="55" spans="1:11" ht="14.25" customHeight="1">
      <c r="A55" s="85" t="s">
        <v>197</v>
      </c>
      <c r="B55" s="85"/>
      <c r="C55" s="85"/>
      <c r="D55" s="85"/>
      <c r="E55" s="85"/>
      <c r="F55" s="85"/>
      <c r="G55" s="85"/>
      <c r="H55" s="85"/>
    </row>
    <row r="57" spans="1:11" ht="14.25" customHeight="1">
      <c r="A57" s="108" t="s">
        <v>86</v>
      </c>
      <c r="B57" s="234">
        <v>47</v>
      </c>
      <c r="C57" s="110" t="s">
        <v>141</v>
      </c>
      <c r="D57" s="111">
        <f>B16</f>
        <v>17615.22</v>
      </c>
      <c r="E57" s="110" t="s">
        <v>88</v>
      </c>
      <c r="F57" s="575" t="s">
        <v>90</v>
      </c>
      <c r="G57" s="575"/>
      <c r="H57" s="235"/>
    </row>
    <row r="58" spans="1:11" ht="14.25" customHeight="1">
      <c r="A58" s="85"/>
      <c r="B58" s="113">
        <v>1000</v>
      </c>
      <c r="C58" s="107" t="s">
        <v>88</v>
      </c>
      <c r="D58" s="576" t="s">
        <v>59</v>
      </c>
      <c r="E58" s="576"/>
      <c r="F58" s="113">
        <v>2000</v>
      </c>
      <c r="G58" s="107" t="s">
        <v>141</v>
      </c>
      <c r="H58" s="235"/>
    </row>
    <row r="60" spans="1:11" ht="14.25" customHeight="1">
      <c r="A60" s="108" t="s">
        <v>86</v>
      </c>
      <c r="B60" s="123">
        <f>((B57/B58)*D57)/F58</f>
        <v>0.41395767</v>
      </c>
      <c r="C60" s="115" t="s">
        <v>90</v>
      </c>
      <c r="D60" s="85"/>
      <c r="E60" s="85"/>
      <c r="F60" s="85"/>
      <c r="G60" s="85"/>
      <c r="H60" s="85"/>
    </row>
    <row r="61" spans="1:11" ht="14.25" customHeight="1">
      <c r="A61" s="85"/>
      <c r="B61" s="85"/>
      <c r="C61" s="118" t="s">
        <v>59</v>
      </c>
      <c r="D61" s="85"/>
      <c r="E61" s="85"/>
      <c r="F61" s="85"/>
      <c r="G61" s="85"/>
      <c r="H61" s="85"/>
    </row>
    <row r="63" spans="1:11" ht="14.25" customHeight="1">
      <c r="A63" s="85" t="s">
        <v>198</v>
      </c>
      <c r="B63" s="85"/>
      <c r="C63" s="85"/>
      <c r="D63" s="85"/>
      <c r="E63" s="85"/>
      <c r="F63" s="85"/>
      <c r="G63" s="85"/>
      <c r="H63" s="85"/>
    </row>
    <row r="65" spans="1:8" ht="14.25" customHeight="1">
      <c r="A65" s="108" t="s">
        <v>86</v>
      </c>
      <c r="B65" s="234">
        <v>32</v>
      </c>
      <c r="C65" s="110" t="s">
        <v>141</v>
      </c>
      <c r="D65" s="111">
        <f>B17</f>
        <v>1195839.54</v>
      </c>
      <c r="E65" s="110" t="s">
        <v>88</v>
      </c>
      <c r="F65" s="575" t="s">
        <v>90</v>
      </c>
      <c r="G65" s="575"/>
      <c r="H65" s="235"/>
    </row>
    <row r="66" spans="1:8" ht="14.25" customHeight="1">
      <c r="A66" s="85"/>
      <c r="B66" s="113">
        <v>1000</v>
      </c>
      <c r="C66" s="107" t="s">
        <v>88</v>
      </c>
      <c r="D66" s="576" t="s">
        <v>59</v>
      </c>
      <c r="E66" s="576"/>
      <c r="F66" s="113">
        <v>2000</v>
      </c>
      <c r="G66" s="107" t="s">
        <v>141</v>
      </c>
      <c r="H66" s="235"/>
    </row>
    <row r="68" spans="1:8" ht="14.25" customHeight="1">
      <c r="A68" s="108" t="s">
        <v>86</v>
      </c>
      <c r="B68" s="123">
        <f>((B65/B66)*D65)/F66</f>
        <v>19.133432640000002</v>
      </c>
      <c r="C68" s="115" t="s">
        <v>90</v>
      </c>
      <c r="D68" s="85"/>
      <c r="E68" s="85"/>
      <c r="F68" s="85"/>
      <c r="G68" s="85"/>
      <c r="H68" s="85"/>
    </row>
    <row r="69" spans="1:8" ht="14.25" customHeight="1">
      <c r="A69" s="85"/>
      <c r="B69" s="85"/>
      <c r="C69" s="118" t="s">
        <v>59</v>
      </c>
      <c r="D69" s="85"/>
      <c r="E69" s="85"/>
      <c r="F69" s="85"/>
      <c r="G69" s="85"/>
      <c r="H69" s="85"/>
    </row>
    <row r="71" spans="1:8" ht="14.25" customHeight="1">
      <c r="A71" s="85" t="s">
        <v>95</v>
      </c>
      <c r="B71" s="85"/>
      <c r="C71" s="85"/>
      <c r="D71" s="85"/>
      <c r="E71" s="85"/>
      <c r="F71" s="85"/>
      <c r="G71" s="85"/>
      <c r="H71" s="85"/>
    </row>
    <row r="73" spans="1:8" ht="14.25" customHeight="1">
      <c r="A73" s="108" t="s">
        <v>86</v>
      </c>
      <c r="B73" s="112">
        <v>0.76</v>
      </c>
      <c r="C73" s="110" t="s">
        <v>141</v>
      </c>
      <c r="D73" s="111">
        <f>D48</f>
        <v>1213454.76</v>
      </c>
      <c r="E73" s="110" t="s">
        <v>88</v>
      </c>
      <c r="F73" s="575" t="s">
        <v>90</v>
      </c>
      <c r="G73" s="575"/>
      <c r="H73" s="235"/>
    </row>
    <row r="74" spans="1:8" ht="14.25" customHeight="1">
      <c r="A74" s="85"/>
      <c r="B74" s="113">
        <v>1000</v>
      </c>
      <c r="C74" s="107" t="s">
        <v>88</v>
      </c>
      <c r="D74" s="576" t="s">
        <v>59</v>
      </c>
      <c r="E74" s="576"/>
      <c r="F74" s="113">
        <v>2000</v>
      </c>
      <c r="G74" s="107" t="s">
        <v>141</v>
      </c>
      <c r="H74" s="235"/>
    </row>
    <row r="76" spans="1:8" ht="14.25" customHeight="1">
      <c r="A76" s="108" t="s">
        <v>86</v>
      </c>
      <c r="B76" s="123">
        <f>((B73/B74)*D73)/F74</f>
        <v>0.46111280880000005</v>
      </c>
      <c r="C76" s="115" t="s">
        <v>90</v>
      </c>
      <c r="D76" s="85"/>
      <c r="E76" s="85"/>
      <c r="F76" s="85"/>
      <c r="G76" s="85"/>
      <c r="H76" s="85"/>
    </row>
    <row r="77" spans="1:8" ht="14.25" customHeight="1">
      <c r="A77" s="85"/>
      <c r="B77" s="85"/>
      <c r="C77" s="118" t="s">
        <v>59</v>
      </c>
      <c r="D77" s="85"/>
      <c r="E77" s="85"/>
      <c r="F77" s="85"/>
      <c r="G77" s="85"/>
      <c r="H77" s="85"/>
    </row>
    <row r="79" spans="1:8" ht="14.25" customHeight="1">
      <c r="A79" s="85" t="s">
        <v>96</v>
      </c>
      <c r="B79" s="85"/>
      <c r="C79" s="85"/>
      <c r="D79" s="85"/>
      <c r="E79" s="85"/>
      <c r="F79" s="85"/>
      <c r="G79" s="85"/>
      <c r="H79" s="85"/>
    </row>
    <row r="81" spans="1:8" ht="14.25" customHeight="1">
      <c r="A81" s="108" t="s">
        <v>86</v>
      </c>
      <c r="B81" s="112">
        <v>5</v>
      </c>
      <c r="C81" s="110" t="s">
        <v>141</v>
      </c>
      <c r="D81" s="111">
        <f>D73</f>
        <v>1213454.76</v>
      </c>
      <c r="E81" s="110" t="s">
        <v>88</v>
      </c>
      <c r="F81" s="575" t="s">
        <v>90</v>
      </c>
      <c r="G81" s="575"/>
      <c r="H81" s="235"/>
    </row>
    <row r="82" spans="1:8" ht="14.25" customHeight="1">
      <c r="A82" s="85"/>
      <c r="B82" s="113">
        <v>1000</v>
      </c>
      <c r="C82" s="107" t="s">
        <v>88</v>
      </c>
      <c r="D82" s="576" t="s">
        <v>59</v>
      </c>
      <c r="E82" s="576"/>
      <c r="F82" s="113">
        <v>2000</v>
      </c>
      <c r="G82" s="107" t="s">
        <v>141</v>
      </c>
      <c r="H82" s="235"/>
    </row>
    <row r="84" spans="1:8" ht="14.25" customHeight="1">
      <c r="A84" s="108" t="s">
        <v>86</v>
      </c>
      <c r="B84" s="123">
        <f>((B81/B82)*D81)/F82</f>
        <v>3.0336368999999999</v>
      </c>
      <c r="C84" s="115" t="s">
        <v>90</v>
      </c>
      <c r="D84" s="85"/>
      <c r="E84" s="85"/>
      <c r="F84" s="85"/>
      <c r="G84" s="85"/>
      <c r="H84" s="85"/>
    </row>
    <row r="85" spans="1:8" ht="14.25" customHeight="1">
      <c r="A85" s="85"/>
      <c r="B85" s="85"/>
      <c r="C85" s="118" t="s">
        <v>59</v>
      </c>
      <c r="D85" s="85"/>
      <c r="E85" s="85"/>
      <c r="F85" s="85"/>
      <c r="G85" s="85"/>
      <c r="H85" s="85"/>
    </row>
    <row r="87" spans="1:8" ht="14.25" customHeight="1">
      <c r="A87" s="85" t="s">
        <v>97</v>
      </c>
      <c r="B87" s="85"/>
      <c r="C87" s="85"/>
      <c r="D87" s="85"/>
      <c r="E87" s="85"/>
      <c r="F87" s="85"/>
      <c r="G87" s="85"/>
      <c r="H87" s="85"/>
    </row>
    <row r="89" spans="1:8" ht="14.25" customHeight="1">
      <c r="A89" s="108" t="s">
        <v>86</v>
      </c>
      <c r="B89" s="112">
        <v>1.5100000000000001E-3</v>
      </c>
      <c r="C89" s="110" t="s">
        <v>141</v>
      </c>
      <c r="D89" s="111">
        <f>D81</f>
        <v>1213454.76</v>
      </c>
      <c r="E89" s="110" t="s">
        <v>88</v>
      </c>
      <c r="F89" s="575" t="s">
        <v>90</v>
      </c>
      <c r="G89" s="575"/>
      <c r="H89" s="235"/>
    </row>
    <row r="90" spans="1:8" ht="14.25" customHeight="1">
      <c r="A90" s="85"/>
      <c r="B90" s="113">
        <v>1000</v>
      </c>
      <c r="C90" s="107" t="s">
        <v>88</v>
      </c>
      <c r="D90" s="576" t="s">
        <v>59</v>
      </c>
      <c r="E90" s="576"/>
      <c r="F90" s="113">
        <v>2000</v>
      </c>
      <c r="G90" s="107" t="s">
        <v>141</v>
      </c>
      <c r="H90" s="235"/>
    </row>
    <row r="92" spans="1:8" ht="14.25" customHeight="1">
      <c r="A92" s="108" t="s">
        <v>86</v>
      </c>
      <c r="B92" s="123">
        <f>((B89/B90)*D89)/F90</f>
        <v>9.161583438E-4</v>
      </c>
      <c r="C92" s="115" t="s">
        <v>90</v>
      </c>
    </row>
    <row r="93" spans="1:8" ht="14.25" customHeight="1">
      <c r="A93" s="85"/>
      <c r="B93" s="85"/>
      <c r="C93" s="118" t="s">
        <v>59</v>
      </c>
    </row>
    <row r="96" spans="1:8" ht="14.25" customHeight="1">
      <c r="A96" s="85" t="s">
        <v>98</v>
      </c>
      <c r="B96" s="85"/>
      <c r="C96" s="85"/>
      <c r="D96" s="85"/>
      <c r="E96" s="85"/>
      <c r="F96" s="85"/>
      <c r="G96" s="85"/>
      <c r="H96" s="85"/>
    </row>
    <row r="98" spans="1:8" ht="14.25" customHeight="1">
      <c r="A98" s="108" t="s">
        <v>86</v>
      </c>
      <c r="B98" s="109">
        <f>R14</f>
        <v>24.891205852956599</v>
      </c>
      <c r="C98" s="110" t="s">
        <v>141</v>
      </c>
      <c r="D98" s="111">
        <f>D89</f>
        <v>1213454.76</v>
      </c>
      <c r="E98" s="110" t="s">
        <v>88</v>
      </c>
      <c r="F98" s="575" t="s">
        <v>90</v>
      </c>
      <c r="G98" s="575"/>
      <c r="H98" s="235"/>
    </row>
    <row r="99" spans="1:8" ht="14.25" customHeight="1">
      <c r="A99" s="85"/>
      <c r="B99" s="113"/>
      <c r="C99" s="107" t="s">
        <v>88</v>
      </c>
      <c r="D99" s="576" t="s">
        <v>59</v>
      </c>
      <c r="E99" s="576"/>
      <c r="F99" s="113">
        <v>2000</v>
      </c>
      <c r="G99" s="107" t="s">
        <v>141</v>
      </c>
      <c r="H99" s="235"/>
    </row>
    <row r="101" spans="1:8" ht="14.25" customHeight="1">
      <c r="A101" s="108" t="s">
        <v>86</v>
      </c>
      <c r="B101" s="123">
        <f>B98*D98/F99</f>
        <v>15102.176112205023</v>
      </c>
      <c r="C101" s="115" t="s">
        <v>90</v>
      </c>
    </row>
    <row r="102" spans="1:8" ht="14.25" customHeight="1">
      <c r="A102" s="85"/>
      <c r="B102" s="85"/>
      <c r="C102" s="118" t="s">
        <v>59</v>
      </c>
    </row>
  </sheetData>
  <mergeCells count="27">
    <mergeCell ref="A1:H1"/>
    <mergeCell ref="F23:G23"/>
    <mergeCell ref="B24:C24"/>
    <mergeCell ref="D24:E24"/>
    <mergeCell ref="H24:I24"/>
    <mergeCell ref="F31:G31"/>
    <mergeCell ref="B32:C32"/>
    <mergeCell ref="D32:E32"/>
    <mergeCell ref="H32:I32"/>
    <mergeCell ref="F40:G40"/>
    <mergeCell ref="B41:C41"/>
    <mergeCell ref="D41:E41"/>
    <mergeCell ref="H41:I41"/>
    <mergeCell ref="F48:G48"/>
    <mergeCell ref="D49:E49"/>
    <mergeCell ref="F57:G57"/>
    <mergeCell ref="D58:E58"/>
    <mergeCell ref="F65:G65"/>
    <mergeCell ref="D66:E66"/>
    <mergeCell ref="F73:G73"/>
    <mergeCell ref="F98:G98"/>
    <mergeCell ref="D99:E99"/>
    <mergeCell ref="D74:E74"/>
    <mergeCell ref="F81:G81"/>
    <mergeCell ref="D82:E82"/>
    <mergeCell ref="F89:G89"/>
    <mergeCell ref="D90:E90"/>
  </mergeCells>
  <pageMargins left="0.7" right="0.7" top="0.75" bottom="0.75" header="0.511811023622047" footer="0.511811023622047"/>
  <pageSetup paperSize="9" orientation="portrait" horizontalDpi="300" verticalDpi="30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X83"/>
  <sheetViews>
    <sheetView topLeftCell="A10" zoomScaleNormal="100" workbookViewId="0">
      <selection activeCell="A17" sqref="A17"/>
    </sheetView>
  </sheetViews>
  <sheetFormatPr defaultColWidth="8.7109375" defaultRowHeight="15"/>
  <cols>
    <col min="1" max="2" width="18.28515625" customWidth="1"/>
    <col min="3" max="3" width="16.5703125" customWidth="1"/>
    <col min="4" max="4" width="12.42578125" customWidth="1"/>
    <col min="5" max="5" width="11.5703125" customWidth="1"/>
    <col min="6" max="6" width="13.5703125" customWidth="1"/>
    <col min="7" max="7" width="4.85546875" customWidth="1"/>
    <col min="8" max="8" width="8.42578125" customWidth="1"/>
    <col min="9" max="9" width="8.28515625" customWidth="1"/>
    <col min="10" max="10" width="5.5703125" customWidth="1"/>
    <col min="11" max="11" width="3.42578125" customWidth="1"/>
    <col min="12" max="12" width="4.5703125" customWidth="1"/>
    <col min="13" max="13" width="12.7109375" customWidth="1"/>
    <col min="14" max="14" width="8.5703125" customWidth="1"/>
    <col min="15" max="15" width="9.140625" customWidth="1"/>
    <col min="16" max="16" width="8.28515625" customWidth="1"/>
    <col min="17" max="17" width="1.7109375" customWidth="1"/>
    <col min="18" max="18" width="8" customWidth="1"/>
    <col min="19" max="19" width="8.28515625" customWidth="1"/>
    <col min="20" max="20" width="5.5703125" customWidth="1"/>
    <col min="21" max="21" width="3.42578125" customWidth="1"/>
  </cols>
  <sheetData>
    <row r="1" spans="1:24" ht="14.25" customHeight="1">
      <c r="A1" s="578" t="s">
        <v>199</v>
      </c>
      <c r="B1" s="578"/>
      <c r="C1" s="578"/>
      <c r="D1" s="578"/>
      <c r="E1" s="578"/>
      <c r="F1" s="578"/>
      <c r="G1" s="578"/>
      <c r="H1" s="578"/>
      <c r="I1" s="578"/>
      <c r="J1" s="578"/>
      <c r="K1" s="578"/>
      <c r="L1" s="578"/>
      <c r="M1" s="578"/>
      <c r="N1" s="578"/>
      <c r="O1" s="578"/>
      <c r="P1" s="578"/>
    </row>
    <row r="2" spans="1:24" ht="14.25" customHeight="1">
      <c r="A2" s="125"/>
      <c r="B2" s="125"/>
      <c r="C2" s="125"/>
      <c r="D2" s="125"/>
      <c r="E2" s="125"/>
      <c r="F2" s="125"/>
      <c r="G2" s="125"/>
      <c r="H2" s="125"/>
      <c r="I2" s="125"/>
      <c r="J2" s="125"/>
      <c r="K2" s="125"/>
      <c r="L2" s="125"/>
      <c r="M2" s="125"/>
      <c r="N2" s="125"/>
      <c r="O2" s="125"/>
      <c r="P2" s="125"/>
    </row>
    <row r="3" spans="1:24" ht="30" customHeight="1">
      <c r="A3" s="126" t="s">
        <v>110</v>
      </c>
      <c r="B3" s="127" t="s">
        <v>111</v>
      </c>
      <c r="C3" s="127" t="s">
        <v>200</v>
      </c>
      <c r="D3" s="128" t="s">
        <v>113</v>
      </c>
      <c r="E3" s="128" t="s">
        <v>114</v>
      </c>
      <c r="M3" s="125"/>
      <c r="N3" s="125"/>
      <c r="O3" s="125"/>
      <c r="P3" s="125"/>
    </row>
    <row r="4" spans="1:24" ht="14.25" customHeight="1">
      <c r="A4" s="129" t="s">
        <v>14</v>
      </c>
      <c r="B4" s="236">
        <v>9.2099392372881395E-2</v>
      </c>
      <c r="C4" s="236">
        <v>0.108058493511864</v>
      </c>
      <c r="D4" s="111">
        <f>B23</f>
        <v>48.046056483184714</v>
      </c>
      <c r="E4" s="131">
        <f>F23</f>
        <v>10.969419288398337</v>
      </c>
      <c r="J4" s="132"/>
      <c r="K4" s="133"/>
      <c r="L4" s="133"/>
      <c r="M4" s="125"/>
      <c r="N4" s="125"/>
      <c r="O4" s="125"/>
      <c r="P4" s="125"/>
    </row>
    <row r="5" spans="1:24" ht="14.25" customHeight="1">
      <c r="A5" s="134" t="s">
        <v>15</v>
      </c>
      <c r="B5" s="236">
        <v>2.2429676537803301E-2</v>
      </c>
      <c r="C5" s="236">
        <v>9.4426363060370194E-3</v>
      </c>
      <c r="D5" s="137">
        <f>B29</f>
        <v>11.166298217400929</v>
      </c>
      <c r="E5" s="138">
        <f>F29</f>
        <v>2.5493831546577463</v>
      </c>
      <c r="F5" s="125"/>
      <c r="G5" s="125"/>
      <c r="H5" s="125"/>
      <c r="I5" s="125"/>
      <c r="J5" s="125"/>
      <c r="K5" s="125"/>
      <c r="L5" s="125"/>
      <c r="M5" s="125"/>
      <c r="N5" s="125"/>
      <c r="O5" s="125"/>
      <c r="P5" s="125"/>
    </row>
    <row r="6" spans="1:24" ht="14.25" customHeight="1">
      <c r="A6" s="134" t="s">
        <v>16</v>
      </c>
      <c r="B6" s="135">
        <v>2.0999999999999999E-3</v>
      </c>
      <c r="C6" s="135">
        <v>8.3000000000000001E-3</v>
      </c>
      <c r="D6" s="137">
        <f>B35</f>
        <v>1.2804669357662701</v>
      </c>
      <c r="E6" s="138">
        <f>F35</f>
        <v>0.29234404926170549</v>
      </c>
      <c r="F6" s="579" t="s">
        <v>115</v>
      </c>
      <c r="G6" s="579"/>
      <c r="H6" s="579"/>
      <c r="I6" s="579"/>
      <c r="J6" s="579"/>
      <c r="K6" s="579"/>
      <c r="L6" s="579"/>
      <c r="M6" s="579"/>
      <c r="N6" s="579"/>
      <c r="O6" s="139"/>
      <c r="P6" s="139"/>
    </row>
    <row r="7" spans="1:24" ht="14.25" customHeight="1">
      <c r="A7" s="134" t="s">
        <v>11</v>
      </c>
      <c r="B7" s="135">
        <v>6.6E-3</v>
      </c>
      <c r="C7" s="135">
        <v>2.8400000000000002E-2</v>
      </c>
      <c r="D7" s="137">
        <f>B41</f>
        <v>4.0976646534214201</v>
      </c>
      <c r="E7" s="138">
        <f>F41</f>
        <v>0.93553987521036985</v>
      </c>
      <c r="F7" s="140" t="s">
        <v>116</v>
      </c>
      <c r="G7" s="141" t="s">
        <v>201</v>
      </c>
      <c r="I7" s="141"/>
      <c r="J7" s="141"/>
      <c r="K7" s="141"/>
      <c r="L7" s="141"/>
      <c r="M7" s="141"/>
      <c r="N7" s="141"/>
      <c r="O7" s="141"/>
      <c r="P7" s="141"/>
    </row>
    <row r="8" spans="1:24" ht="14.25" customHeight="1">
      <c r="A8" s="134" t="s">
        <v>12</v>
      </c>
      <c r="B8" s="135">
        <v>6.6E-3</v>
      </c>
      <c r="C8" s="135">
        <v>3.5700000000000003E-2</v>
      </c>
      <c r="D8" s="137">
        <f>B47</f>
        <v>4.3290025488394202</v>
      </c>
      <c r="E8" s="142">
        <f>F47</f>
        <v>0.98835674631036985</v>
      </c>
      <c r="F8" s="143"/>
      <c r="G8" s="141" t="s">
        <v>202</v>
      </c>
      <c r="H8" s="141"/>
      <c r="I8" s="141"/>
      <c r="J8" s="141"/>
      <c r="K8" s="141"/>
      <c r="L8" s="141"/>
      <c r="M8" s="141"/>
      <c r="N8" s="141"/>
      <c r="O8" s="141"/>
    </row>
    <row r="9" spans="1:24" ht="14.25" customHeight="1">
      <c r="A9" s="134" t="s">
        <v>34</v>
      </c>
      <c r="B9" s="135">
        <v>6.6E-3</v>
      </c>
      <c r="C9" s="135">
        <v>3.5700000000000003E-2</v>
      </c>
      <c r="D9" s="137">
        <f>B53</f>
        <v>4.3290025488394202</v>
      </c>
      <c r="E9" s="138">
        <f>F53</f>
        <v>0.98835674631036985</v>
      </c>
      <c r="F9" s="107"/>
      <c r="G9" s="141" t="s">
        <v>119</v>
      </c>
      <c r="H9" s="141"/>
      <c r="I9" s="141"/>
      <c r="J9" s="141"/>
      <c r="K9" s="141"/>
      <c r="L9" s="141"/>
      <c r="M9" s="141"/>
      <c r="N9" s="141"/>
      <c r="O9" s="141"/>
    </row>
    <row r="10" spans="1:24" ht="14.25" customHeight="1">
      <c r="A10" s="134" t="s">
        <v>13</v>
      </c>
      <c r="B10" s="135">
        <v>2.8E-3</v>
      </c>
      <c r="C10" s="136" t="s">
        <v>203</v>
      </c>
      <c r="D10" s="137">
        <f>B59</f>
        <v>1.37899014030498</v>
      </c>
      <c r="E10" s="138">
        <f>F59</f>
        <v>0.31483793157647944</v>
      </c>
      <c r="F10" s="107"/>
      <c r="G10" s="107"/>
      <c r="H10" s="143"/>
      <c r="I10" s="143"/>
      <c r="J10" s="143"/>
      <c r="K10" s="143"/>
      <c r="L10" s="143"/>
      <c r="M10" s="143"/>
      <c r="N10" s="143"/>
      <c r="O10" s="143"/>
      <c r="P10" s="143"/>
    </row>
    <row r="11" spans="1:24" ht="14.25" customHeight="1">
      <c r="A11" s="134" t="s">
        <v>36</v>
      </c>
      <c r="B11" s="135">
        <v>4.2999999999999999E-4</v>
      </c>
      <c r="C11" s="135">
        <v>7.7000000000000002E-3</v>
      </c>
      <c r="D11" s="137">
        <f>B65</f>
        <v>0.45234667524674105</v>
      </c>
      <c r="E11" s="138">
        <f>F65</f>
        <v>0.10327549663167604</v>
      </c>
      <c r="F11" s="144" t="s">
        <v>121</v>
      </c>
      <c r="G11" s="141" t="s">
        <v>122</v>
      </c>
      <c r="H11" s="141"/>
      <c r="I11" s="141"/>
      <c r="J11" s="141"/>
      <c r="K11" s="141"/>
      <c r="L11" s="141"/>
      <c r="N11" s="143"/>
      <c r="O11" s="143"/>
      <c r="P11" s="143"/>
      <c r="V11" t="s">
        <v>18</v>
      </c>
      <c r="W11">
        <f>(73.96+0.003*25+0.0006*298)*2.2046*0.138</f>
        <v>22.578420600240001</v>
      </c>
      <c r="X11" t="s">
        <v>123</v>
      </c>
    </row>
    <row r="12" spans="1:24" ht="14.25" customHeight="1">
      <c r="A12" s="134" t="s">
        <v>17</v>
      </c>
      <c r="B12" s="135">
        <v>0</v>
      </c>
      <c r="C12" s="135">
        <v>9.0000000000000002E-6</v>
      </c>
      <c r="D12" s="137">
        <f>B71</f>
        <v>2.8521110394000006E-4</v>
      </c>
      <c r="E12" s="138">
        <f>F71</f>
        <v>6.5116690397260281E-5</v>
      </c>
      <c r="F12" s="125"/>
      <c r="G12" s="125"/>
      <c r="H12" s="125"/>
      <c r="I12" s="125"/>
      <c r="J12" s="125"/>
      <c r="K12" s="125"/>
      <c r="L12" s="125"/>
      <c r="M12" s="125"/>
      <c r="N12" s="125"/>
      <c r="O12" s="125"/>
      <c r="P12" s="125"/>
      <c r="W12">
        <f>(475409.8+224+267)*2204.62/8707340462.38</f>
        <v>0.12049378638965323</v>
      </c>
      <c r="X12" t="s">
        <v>124</v>
      </c>
    </row>
    <row r="13" spans="1:24" ht="14.25" customHeight="1">
      <c r="A13" s="134" t="s">
        <v>18</v>
      </c>
      <c r="B13" s="135" t="s">
        <v>204</v>
      </c>
      <c r="C13" s="135" t="s">
        <v>126</v>
      </c>
      <c r="D13" s="146">
        <f>B77</f>
        <v>62418.801342023515</v>
      </c>
      <c r="E13" s="147">
        <f>F77</f>
        <v>14250.867886306738</v>
      </c>
      <c r="F13" s="125"/>
      <c r="G13" s="125"/>
      <c r="H13" s="125"/>
      <c r="I13" s="125"/>
      <c r="J13" s="125"/>
      <c r="K13" s="125"/>
      <c r="L13" s="125"/>
      <c r="M13" s="125"/>
      <c r="N13" s="125"/>
      <c r="O13" s="125"/>
      <c r="P13" s="125"/>
    </row>
    <row r="14" spans="1:24" ht="14.25" customHeight="1">
      <c r="A14" s="148" t="s">
        <v>37</v>
      </c>
      <c r="B14" s="149">
        <v>0</v>
      </c>
      <c r="C14" s="150">
        <v>0</v>
      </c>
      <c r="D14" s="151">
        <v>0</v>
      </c>
      <c r="E14" s="152">
        <v>0</v>
      </c>
      <c r="F14" s="125"/>
      <c r="G14" s="125"/>
      <c r="H14" s="125"/>
      <c r="I14" s="125"/>
      <c r="J14" s="125"/>
      <c r="K14" s="125"/>
      <c r="L14" s="125"/>
      <c r="M14" s="125"/>
      <c r="N14" s="125"/>
      <c r="O14" s="125"/>
      <c r="P14" s="125"/>
    </row>
    <row r="15" spans="1:24" ht="14.25" customHeight="1">
      <c r="A15" s="153"/>
      <c r="B15" s="153"/>
      <c r="C15" s="153"/>
      <c r="D15" s="153"/>
      <c r="E15" s="132"/>
      <c r="H15" s="125"/>
      <c r="I15" s="125"/>
      <c r="J15" s="125"/>
      <c r="K15" s="125"/>
      <c r="L15" s="125"/>
      <c r="M15" s="125"/>
      <c r="N15" s="125"/>
      <c r="O15" s="125"/>
      <c r="P15" s="125"/>
    </row>
    <row r="16" spans="1:24" ht="14.25" customHeight="1">
      <c r="A16" s="154" t="s">
        <v>205</v>
      </c>
      <c r="B16" s="155">
        <f>'San Juan'!D28</f>
        <v>459277.14</v>
      </c>
      <c r="C16" s="155"/>
      <c r="D16" s="156" t="s">
        <v>83</v>
      </c>
      <c r="H16" s="125"/>
      <c r="I16" s="125"/>
      <c r="J16" s="125"/>
      <c r="K16" s="125"/>
      <c r="L16" s="125"/>
      <c r="M16" s="125"/>
      <c r="N16" s="125"/>
      <c r="O16" s="125"/>
      <c r="P16" s="125"/>
    </row>
    <row r="17" spans="1:21" ht="14.25" customHeight="1">
      <c r="A17" s="116" t="s">
        <v>128</v>
      </c>
      <c r="B17" s="157">
        <f>'San Juan'!N28</f>
        <v>949989652.37</v>
      </c>
      <c r="C17" s="157"/>
      <c r="D17" s="133" t="s">
        <v>129</v>
      </c>
      <c r="F17" s="125"/>
      <c r="G17" s="125"/>
      <c r="H17" s="125"/>
      <c r="I17" s="125"/>
      <c r="J17" s="125"/>
      <c r="K17" s="125"/>
      <c r="L17" s="125"/>
      <c r="M17" s="125"/>
      <c r="N17" s="125"/>
      <c r="O17" s="125"/>
      <c r="P17" s="125"/>
    </row>
    <row r="18" spans="1:21" ht="14.25" customHeight="1">
      <c r="A18" s="87" t="s">
        <v>206</v>
      </c>
      <c r="B18" s="158">
        <f>'San Juan'!F28</f>
        <v>6.9999999999999999E-4</v>
      </c>
      <c r="D18" t="s">
        <v>131</v>
      </c>
      <c r="M18" s="125"/>
      <c r="N18" s="125"/>
      <c r="O18" s="125"/>
      <c r="P18" s="125"/>
    </row>
    <row r="19" spans="1:21" ht="14.25" customHeight="1">
      <c r="A19" s="125"/>
      <c r="B19" s="125"/>
      <c r="C19" s="125"/>
      <c r="D19" s="125"/>
      <c r="E19" s="125"/>
      <c r="F19" s="125"/>
      <c r="G19" s="125"/>
      <c r="H19" s="125"/>
      <c r="I19" s="125"/>
      <c r="J19" s="125"/>
      <c r="K19" s="125"/>
      <c r="L19" s="125"/>
      <c r="M19" s="125"/>
      <c r="N19" s="125"/>
      <c r="O19" s="125"/>
      <c r="P19" s="125"/>
    </row>
    <row r="20" spans="1:21" ht="14.25" customHeight="1">
      <c r="A20" s="159" t="s">
        <v>132</v>
      </c>
      <c r="B20" s="160">
        <f>B16</f>
        <v>459277.14</v>
      </c>
      <c r="C20" s="161"/>
      <c r="D20" s="162" t="s">
        <v>133</v>
      </c>
      <c r="E20" s="163">
        <v>0.13800000000000001</v>
      </c>
      <c r="F20" s="164" t="s">
        <v>134</v>
      </c>
      <c r="G20" s="576" t="s">
        <v>135</v>
      </c>
      <c r="H20" s="237">
        <f>C4</f>
        <v>0.108058493511864</v>
      </c>
      <c r="I20" s="166" t="s">
        <v>136</v>
      </c>
      <c r="J20" s="165">
        <v>1</v>
      </c>
      <c r="K20" s="165" t="s">
        <v>90</v>
      </c>
      <c r="L20" s="167" t="s">
        <v>137</v>
      </c>
      <c r="M20" s="168">
        <f>B17</f>
        <v>949989652.37</v>
      </c>
      <c r="N20" s="164" t="s">
        <v>138</v>
      </c>
      <c r="O20" s="160">
        <v>1020</v>
      </c>
      <c r="P20" s="162" t="s">
        <v>139</v>
      </c>
      <c r="Q20" s="576" t="s">
        <v>135</v>
      </c>
      <c r="R20" s="237">
        <f>B4</f>
        <v>9.2099392372881395E-2</v>
      </c>
      <c r="S20" s="166" t="s">
        <v>136</v>
      </c>
      <c r="T20" s="165">
        <v>1</v>
      </c>
      <c r="U20" s="165" t="s">
        <v>90</v>
      </c>
    </row>
    <row r="21" spans="1:21" ht="14.25" customHeight="1">
      <c r="A21" s="107"/>
      <c r="B21" s="113"/>
      <c r="C21" s="107"/>
      <c r="D21" s="169" t="s">
        <v>59</v>
      </c>
      <c r="E21" s="107"/>
      <c r="F21" s="170" t="s">
        <v>88</v>
      </c>
      <c r="G21" s="576"/>
      <c r="H21" s="125"/>
      <c r="I21" s="171" t="s">
        <v>140</v>
      </c>
      <c r="J21" s="172">
        <v>2000</v>
      </c>
      <c r="K21" s="125" t="s">
        <v>141</v>
      </c>
      <c r="L21" s="107"/>
      <c r="M21" s="107"/>
      <c r="N21" s="170" t="s">
        <v>59</v>
      </c>
      <c r="O21" s="173">
        <v>1000000</v>
      </c>
      <c r="P21" s="169" t="s">
        <v>68</v>
      </c>
      <c r="Q21" s="576"/>
      <c r="R21" s="125"/>
      <c r="S21" s="171" t="s">
        <v>140</v>
      </c>
      <c r="T21" s="172">
        <v>2000</v>
      </c>
      <c r="U21" s="125" t="s">
        <v>141</v>
      </c>
    </row>
    <row r="22" spans="1:21" ht="14.25" customHeight="1">
      <c r="A22" s="125"/>
      <c r="B22" s="125"/>
      <c r="C22" s="125"/>
      <c r="D22" s="125"/>
      <c r="E22" s="125"/>
      <c r="F22" s="125"/>
      <c r="G22" s="125"/>
      <c r="H22" s="125"/>
      <c r="I22" s="125"/>
      <c r="J22" s="125"/>
      <c r="K22" s="125"/>
      <c r="L22" s="125"/>
      <c r="M22" s="125"/>
      <c r="N22" s="125"/>
      <c r="O22" s="125"/>
      <c r="P22" s="125"/>
    </row>
    <row r="23" spans="1:21" ht="14.25" customHeight="1">
      <c r="A23" s="159"/>
      <c r="B23" s="174">
        <f>(B20*E20*H20+M20*O20*R20/1000000)/2000</f>
        <v>48.046056483184714</v>
      </c>
      <c r="C23" s="174"/>
      <c r="D23" s="125" t="s">
        <v>142</v>
      </c>
      <c r="E23" s="159" t="s">
        <v>86</v>
      </c>
      <c r="F23" s="132">
        <f>B23*(2000/8760)</f>
        <v>10.969419288398337</v>
      </c>
      <c r="G23" s="125" t="s">
        <v>143</v>
      </c>
      <c r="H23" s="175"/>
      <c r="I23" s="125"/>
      <c r="J23" s="125"/>
      <c r="K23" s="125"/>
      <c r="L23" s="125"/>
      <c r="M23" s="125"/>
      <c r="N23" s="125"/>
      <c r="O23" s="125"/>
      <c r="P23" s="125"/>
    </row>
    <row r="24" spans="1:21" ht="14.25" customHeight="1">
      <c r="A24" s="125"/>
      <c r="B24" s="125"/>
      <c r="C24" s="125"/>
      <c r="D24" s="125"/>
      <c r="E24" s="125"/>
      <c r="F24" s="125"/>
      <c r="G24" s="125"/>
      <c r="H24" s="176"/>
      <c r="I24" s="176"/>
      <c r="J24" s="176"/>
      <c r="K24" s="125"/>
      <c r="L24" s="125"/>
      <c r="M24" s="125"/>
      <c r="N24" s="125"/>
      <c r="O24" s="125"/>
      <c r="P24" s="125"/>
    </row>
    <row r="25" spans="1:21" ht="14.25" customHeight="1">
      <c r="A25" s="125"/>
      <c r="B25" s="125"/>
      <c r="C25" s="125"/>
      <c r="D25" s="125"/>
      <c r="E25" s="125"/>
      <c r="F25" s="125"/>
      <c r="G25" s="125"/>
      <c r="H25" s="125"/>
      <c r="I25" s="125"/>
      <c r="J25" s="125"/>
      <c r="K25" s="125"/>
      <c r="L25" s="125"/>
      <c r="M25" s="125"/>
      <c r="N25" s="125"/>
      <c r="O25" s="125"/>
      <c r="P25" s="125"/>
    </row>
    <row r="26" spans="1:21" ht="14.25" customHeight="1">
      <c r="A26" s="159" t="s">
        <v>144</v>
      </c>
      <c r="B26" s="160">
        <f>B16</f>
        <v>459277.14</v>
      </c>
      <c r="C26" s="161"/>
      <c r="D26" s="162" t="s">
        <v>133</v>
      </c>
      <c r="E26" s="163">
        <v>0.13800000000000001</v>
      </c>
      <c r="F26" s="164" t="s">
        <v>134</v>
      </c>
      <c r="G26" s="576" t="s">
        <v>135</v>
      </c>
      <c r="H26" s="237">
        <f>C5</f>
        <v>9.4426363060370194E-3</v>
      </c>
      <c r="I26" s="166" t="s">
        <v>136</v>
      </c>
      <c r="J26" s="165">
        <v>1</v>
      </c>
      <c r="K26" s="165" t="s">
        <v>90</v>
      </c>
      <c r="L26" s="167" t="s">
        <v>137</v>
      </c>
      <c r="M26" s="168">
        <f>B17</f>
        <v>949989652.37</v>
      </c>
      <c r="N26" s="162" t="s">
        <v>138</v>
      </c>
      <c r="O26" s="161">
        <v>1020</v>
      </c>
      <c r="P26" s="162" t="s">
        <v>139</v>
      </c>
      <c r="Q26" s="113" t="s">
        <v>135</v>
      </c>
      <c r="R26" s="237">
        <f>B5</f>
        <v>2.2429676537803301E-2</v>
      </c>
      <c r="S26" s="166" t="s">
        <v>136</v>
      </c>
      <c r="T26" s="177">
        <v>1</v>
      </c>
      <c r="U26" s="165" t="s">
        <v>90</v>
      </c>
    </row>
    <row r="27" spans="1:21" ht="14.25" customHeight="1">
      <c r="A27" s="107"/>
      <c r="B27" s="113"/>
      <c r="C27" s="107"/>
      <c r="D27" s="169" t="s">
        <v>59</v>
      </c>
      <c r="E27" s="107"/>
      <c r="F27" s="178" t="s">
        <v>88</v>
      </c>
      <c r="G27" s="576"/>
      <c r="H27" s="125"/>
      <c r="I27" s="171" t="s">
        <v>140</v>
      </c>
      <c r="J27" s="172">
        <v>2000</v>
      </c>
      <c r="K27" s="125" t="s">
        <v>141</v>
      </c>
      <c r="L27" s="107"/>
      <c r="M27" s="107"/>
      <c r="N27" s="169" t="s">
        <v>59</v>
      </c>
      <c r="O27" s="179">
        <v>1000000</v>
      </c>
      <c r="P27" s="169" t="s">
        <v>68</v>
      </c>
      <c r="Q27" s="113"/>
      <c r="R27" s="125"/>
      <c r="S27" s="171" t="s">
        <v>140</v>
      </c>
      <c r="T27" s="180">
        <v>2000</v>
      </c>
      <c r="U27" s="125" t="s">
        <v>141</v>
      </c>
    </row>
    <row r="28" spans="1:21" ht="14.25" customHeight="1">
      <c r="A28" s="125"/>
      <c r="B28" s="125"/>
      <c r="C28" s="125"/>
      <c r="D28" s="125"/>
      <c r="E28" s="125"/>
      <c r="F28" s="125"/>
      <c r="G28" s="125"/>
      <c r="H28" s="125"/>
      <c r="I28" s="125"/>
      <c r="J28" s="125"/>
      <c r="K28" s="125"/>
      <c r="L28" s="125"/>
      <c r="M28" s="125"/>
      <c r="N28" s="125"/>
      <c r="O28" s="125"/>
      <c r="P28" s="125"/>
    </row>
    <row r="29" spans="1:21" ht="14.25" customHeight="1">
      <c r="A29" s="159"/>
      <c r="B29" s="174">
        <f>(B26*E26*H26+M26*O26*R26/1000000)/2000</f>
        <v>11.166298217400929</v>
      </c>
      <c r="C29" s="174"/>
      <c r="D29" s="125" t="s">
        <v>142</v>
      </c>
      <c r="E29" s="159" t="s">
        <v>86</v>
      </c>
      <c r="F29" s="132">
        <f>B29*(2000/8760)</f>
        <v>2.5493831546577463</v>
      </c>
      <c r="G29" s="125" t="s">
        <v>143</v>
      </c>
      <c r="I29" s="125"/>
      <c r="J29" s="125"/>
      <c r="K29" s="125"/>
      <c r="L29" s="125"/>
      <c r="M29" s="125"/>
      <c r="N29" s="125"/>
      <c r="O29" s="125"/>
      <c r="P29" s="125"/>
    </row>
    <row r="30" spans="1:21" ht="14.25" customHeight="1">
      <c r="A30" s="125"/>
      <c r="B30" s="125"/>
      <c r="C30" s="125"/>
      <c r="D30" s="125"/>
      <c r="E30" s="125"/>
      <c r="F30" s="125"/>
      <c r="G30" s="125"/>
      <c r="H30" s="125"/>
      <c r="I30" s="125"/>
      <c r="J30" s="125"/>
      <c r="K30" s="125"/>
      <c r="L30" s="125"/>
      <c r="M30" s="125"/>
      <c r="N30" s="125"/>
      <c r="O30" s="125"/>
      <c r="P30" s="125"/>
    </row>
    <row r="31" spans="1:21" ht="14.25" customHeight="1">
      <c r="A31" s="125"/>
      <c r="B31" s="125"/>
      <c r="C31" s="125"/>
      <c r="D31" s="125"/>
      <c r="E31" s="125"/>
      <c r="F31" s="125"/>
      <c r="G31" s="125"/>
      <c r="H31" s="125"/>
      <c r="I31" s="125"/>
      <c r="J31" s="125"/>
      <c r="K31" s="125"/>
      <c r="L31" s="125"/>
      <c r="M31" s="125"/>
      <c r="N31" s="125"/>
      <c r="O31" s="125"/>
      <c r="P31" s="125"/>
    </row>
    <row r="32" spans="1:21" ht="14.25" customHeight="1">
      <c r="A32" s="159" t="s">
        <v>145</v>
      </c>
      <c r="B32" s="160">
        <f>B16</f>
        <v>459277.14</v>
      </c>
      <c r="C32" s="161"/>
      <c r="D32" s="162" t="s">
        <v>133</v>
      </c>
      <c r="E32" s="163">
        <v>0.13800000000000001</v>
      </c>
      <c r="F32" s="164" t="s">
        <v>134</v>
      </c>
      <c r="G32" s="576" t="s">
        <v>135</v>
      </c>
      <c r="H32" s="165">
        <f>C6</f>
        <v>8.3000000000000001E-3</v>
      </c>
      <c r="I32" s="166" t="s">
        <v>136</v>
      </c>
      <c r="J32" s="165">
        <v>1</v>
      </c>
      <c r="K32" s="165" t="s">
        <v>90</v>
      </c>
      <c r="L32" s="167" t="s">
        <v>137</v>
      </c>
      <c r="M32" s="168">
        <f>B17</f>
        <v>949989652.37</v>
      </c>
      <c r="N32" s="162" t="s">
        <v>138</v>
      </c>
      <c r="O32" s="161">
        <v>1020</v>
      </c>
      <c r="P32" s="162" t="s">
        <v>139</v>
      </c>
      <c r="Q32" s="113" t="s">
        <v>135</v>
      </c>
      <c r="R32" s="165">
        <f>B6</f>
        <v>2.0999999999999999E-3</v>
      </c>
      <c r="S32" s="166" t="s">
        <v>136</v>
      </c>
      <c r="T32" s="165">
        <v>1</v>
      </c>
      <c r="U32" s="165" t="s">
        <v>90</v>
      </c>
    </row>
    <row r="33" spans="1:21" ht="14.25" customHeight="1">
      <c r="A33" s="107"/>
      <c r="B33" s="113"/>
      <c r="C33" s="107"/>
      <c r="D33" s="169" t="s">
        <v>59</v>
      </c>
      <c r="E33" s="107"/>
      <c r="F33" s="170" t="s">
        <v>88</v>
      </c>
      <c r="G33" s="576"/>
      <c r="H33" s="125"/>
      <c r="I33" s="171" t="s">
        <v>140</v>
      </c>
      <c r="J33" s="172">
        <v>2000</v>
      </c>
      <c r="K33" s="125" t="s">
        <v>141</v>
      </c>
      <c r="L33" s="107"/>
      <c r="M33" s="107"/>
      <c r="N33" s="169" t="s">
        <v>59</v>
      </c>
      <c r="O33" s="179">
        <v>1000000</v>
      </c>
      <c r="P33" s="169" t="s">
        <v>68</v>
      </c>
      <c r="Q33" s="113"/>
      <c r="R33" s="125"/>
      <c r="S33" s="171" t="s">
        <v>140</v>
      </c>
      <c r="T33" s="172">
        <v>2000</v>
      </c>
      <c r="U33" s="125" t="s">
        <v>141</v>
      </c>
    </row>
    <row r="34" spans="1:21" ht="14.25" customHeight="1">
      <c r="A34" s="125"/>
      <c r="B34" s="125"/>
      <c r="C34" s="125"/>
      <c r="D34" s="125"/>
      <c r="E34" s="125"/>
      <c r="F34" s="125"/>
      <c r="G34" s="125"/>
      <c r="H34" s="125"/>
      <c r="I34" s="125"/>
      <c r="J34" s="125"/>
      <c r="K34" s="125"/>
      <c r="L34" s="125"/>
      <c r="M34" s="125"/>
      <c r="N34" s="125"/>
      <c r="O34" s="125"/>
      <c r="P34" s="125"/>
    </row>
    <row r="35" spans="1:21" ht="14.25" customHeight="1">
      <c r="A35" s="159"/>
      <c r="B35" s="174">
        <f>(B32*E32*H32+M32*O32*R32/1000000)/2000</f>
        <v>1.2804669357662701</v>
      </c>
      <c r="C35" s="174"/>
      <c r="D35" s="125" t="s">
        <v>142</v>
      </c>
      <c r="E35" s="159" t="s">
        <v>86</v>
      </c>
      <c r="F35" s="132">
        <f>B35*(2000/8760)</f>
        <v>0.29234404926170549</v>
      </c>
      <c r="G35" s="125" t="s">
        <v>143</v>
      </c>
      <c r="I35" s="125"/>
      <c r="J35" s="125"/>
      <c r="K35" s="125"/>
      <c r="L35" s="125"/>
      <c r="M35" s="125"/>
      <c r="N35" s="125"/>
      <c r="O35" s="125"/>
      <c r="P35" s="125"/>
    </row>
    <row r="36" spans="1:21" ht="14.25" customHeight="1">
      <c r="A36" s="125"/>
      <c r="B36" s="125"/>
      <c r="C36" s="125"/>
      <c r="D36" s="125"/>
      <c r="E36" s="125"/>
      <c r="F36" s="125"/>
      <c r="G36" s="125"/>
      <c r="H36" s="125"/>
      <c r="I36" s="125"/>
      <c r="J36" s="125"/>
      <c r="K36" s="125"/>
      <c r="L36" s="125"/>
      <c r="M36" s="125"/>
      <c r="N36" s="125"/>
      <c r="O36" s="125"/>
      <c r="P36" s="125"/>
    </row>
    <row r="37" spans="1:21" ht="14.25" customHeight="1">
      <c r="A37" s="125"/>
      <c r="B37" s="125"/>
      <c r="C37" s="125"/>
      <c r="D37" s="125"/>
      <c r="E37" s="125"/>
      <c r="F37" s="125"/>
      <c r="G37" s="125"/>
      <c r="H37" s="125"/>
      <c r="I37" s="125"/>
      <c r="J37" s="125"/>
      <c r="K37" s="125"/>
      <c r="L37" s="125"/>
      <c r="M37" s="125"/>
      <c r="N37" s="125"/>
      <c r="O37" s="125"/>
      <c r="P37" s="125"/>
    </row>
    <row r="38" spans="1:21" ht="14.25" customHeight="1">
      <c r="A38" s="159" t="s">
        <v>146</v>
      </c>
      <c r="B38" s="160">
        <f>B16</f>
        <v>459277.14</v>
      </c>
      <c r="C38" s="161"/>
      <c r="D38" s="162" t="s">
        <v>133</v>
      </c>
      <c r="E38" s="163">
        <v>0.13800000000000001</v>
      </c>
      <c r="F38" s="164" t="s">
        <v>134</v>
      </c>
      <c r="G38" s="576" t="s">
        <v>135</v>
      </c>
      <c r="H38" s="165">
        <f>C7</f>
        <v>2.8400000000000002E-2</v>
      </c>
      <c r="I38" s="166" t="s">
        <v>136</v>
      </c>
      <c r="J38" s="165">
        <v>1</v>
      </c>
      <c r="K38" s="165" t="s">
        <v>90</v>
      </c>
      <c r="L38" s="167" t="s">
        <v>137</v>
      </c>
      <c r="M38" s="168">
        <f>B17</f>
        <v>949989652.37</v>
      </c>
      <c r="N38" s="162" t="s">
        <v>138</v>
      </c>
      <c r="O38" s="161">
        <v>1020</v>
      </c>
      <c r="P38" s="162" t="s">
        <v>139</v>
      </c>
      <c r="Q38" s="113" t="s">
        <v>135</v>
      </c>
      <c r="R38" s="165">
        <f>B7</f>
        <v>6.6E-3</v>
      </c>
      <c r="S38" s="166" t="s">
        <v>136</v>
      </c>
      <c r="T38" s="165">
        <v>1</v>
      </c>
      <c r="U38" s="165" t="s">
        <v>90</v>
      </c>
    </row>
    <row r="39" spans="1:21" ht="14.25" customHeight="1">
      <c r="A39" s="107"/>
      <c r="B39" s="113"/>
      <c r="C39" s="107"/>
      <c r="D39" s="169" t="s">
        <v>59</v>
      </c>
      <c r="E39" s="107"/>
      <c r="F39" s="170" t="s">
        <v>88</v>
      </c>
      <c r="G39" s="576"/>
      <c r="H39" s="125"/>
      <c r="I39" s="171" t="s">
        <v>140</v>
      </c>
      <c r="J39" s="172">
        <v>2000</v>
      </c>
      <c r="K39" s="125" t="s">
        <v>141</v>
      </c>
      <c r="L39" s="107"/>
      <c r="M39" s="107"/>
      <c r="N39" s="169" t="s">
        <v>59</v>
      </c>
      <c r="O39" s="179">
        <v>1000000</v>
      </c>
      <c r="P39" s="169" t="s">
        <v>68</v>
      </c>
      <c r="Q39" s="113"/>
      <c r="R39" s="125"/>
      <c r="S39" s="171" t="s">
        <v>140</v>
      </c>
      <c r="T39" s="172">
        <v>2000</v>
      </c>
      <c r="U39" s="125" t="s">
        <v>141</v>
      </c>
    </row>
    <row r="40" spans="1:21" ht="14.25" customHeight="1">
      <c r="A40" s="125"/>
      <c r="B40" s="125"/>
      <c r="C40" s="125"/>
      <c r="D40" s="125"/>
      <c r="E40" s="125"/>
      <c r="F40" s="125"/>
      <c r="L40" s="125"/>
      <c r="M40" s="125"/>
      <c r="N40" s="125"/>
      <c r="O40" s="125"/>
      <c r="P40" s="125"/>
      <c r="Q40" s="125"/>
      <c r="R40" s="125"/>
      <c r="S40" s="125"/>
      <c r="T40" s="125"/>
      <c r="U40" s="125"/>
    </row>
    <row r="41" spans="1:21" ht="14.25" customHeight="1">
      <c r="A41" s="159"/>
      <c r="B41" s="174">
        <f>(B38*E38*H38+M38*O38*R38/1000000)/2000</f>
        <v>4.0976646534214201</v>
      </c>
      <c r="C41" s="174"/>
      <c r="D41" s="125" t="s">
        <v>142</v>
      </c>
      <c r="E41" s="159" t="s">
        <v>86</v>
      </c>
      <c r="F41" s="132">
        <f>B41*(2000/8760)</f>
        <v>0.93553987521036985</v>
      </c>
      <c r="G41" s="125" t="s">
        <v>143</v>
      </c>
      <c r="L41" s="125" t="s">
        <v>143</v>
      </c>
      <c r="N41" s="125"/>
      <c r="O41" s="125"/>
      <c r="P41" s="125"/>
      <c r="Q41" s="125"/>
      <c r="R41" s="125"/>
      <c r="S41" s="125"/>
      <c r="T41" s="125"/>
      <c r="U41" s="125"/>
    </row>
    <row r="42" spans="1:21" ht="14.25" customHeight="1">
      <c r="A42" s="159"/>
      <c r="B42" s="174"/>
      <c r="C42" s="174"/>
      <c r="D42" s="125"/>
      <c r="E42" s="159"/>
      <c r="F42" s="132"/>
      <c r="L42" s="125"/>
      <c r="N42" s="125"/>
      <c r="O42" s="125"/>
      <c r="P42" s="125"/>
      <c r="Q42" s="125"/>
      <c r="R42" s="125"/>
      <c r="S42" s="125"/>
      <c r="T42" s="125"/>
      <c r="U42" s="125"/>
    </row>
    <row r="43" spans="1:21" ht="14.25" customHeight="1">
      <c r="A43" s="159"/>
      <c r="B43" s="174"/>
      <c r="C43" s="174"/>
      <c r="D43" s="125"/>
      <c r="E43" s="159"/>
      <c r="F43" s="132"/>
      <c r="L43" s="125"/>
      <c r="N43" s="125"/>
      <c r="O43" s="125"/>
      <c r="P43" s="125"/>
      <c r="Q43" s="125"/>
      <c r="R43" s="125"/>
      <c r="S43" s="125"/>
      <c r="T43" s="125"/>
      <c r="U43" s="125"/>
    </row>
    <row r="44" spans="1:21" ht="14.25" customHeight="1">
      <c r="A44" s="159" t="s">
        <v>147</v>
      </c>
      <c r="B44" s="160">
        <f>B16</f>
        <v>459277.14</v>
      </c>
      <c r="C44" s="161"/>
      <c r="D44" s="162" t="s">
        <v>133</v>
      </c>
      <c r="E44" s="163">
        <v>0.13800000000000001</v>
      </c>
      <c r="F44" s="164" t="s">
        <v>134</v>
      </c>
      <c r="G44" s="576" t="s">
        <v>135</v>
      </c>
      <c r="H44" s="165">
        <f>C8</f>
        <v>3.5700000000000003E-2</v>
      </c>
      <c r="I44" s="166" t="s">
        <v>136</v>
      </c>
      <c r="J44" s="165">
        <v>1</v>
      </c>
      <c r="K44" s="165" t="s">
        <v>90</v>
      </c>
      <c r="L44" s="167" t="s">
        <v>137</v>
      </c>
      <c r="M44" s="168">
        <f>B17</f>
        <v>949989652.37</v>
      </c>
      <c r="N44" s="162" t="s">
        <v>138</v>
      </c>
      <c r="O44" s="161">
        <v>1020</v>
      </c>
      <c r="P44" s="162" t="s">
        <v>139</v>
      </c>
      <c r="Q44" s="113" t="s">
        <v>135</v>
      </c>
      <c r="R44" s="165">
        <f>B8</f>
        <v>6.6E-3</v>
      </c>
      <c r="S44" s="166" t="s">
        <v>136</v>
      </c>
      <c r="T44" s="165">
        <v>1</v>
      </c>
      <c r="U44" s="165" t="s">
        <v>90</v>
      </c>
    </row>
    <row r="45" spans="1:21" ht="14.25" customHeight="1">
      <c r="A45" s="107"/>
      <c r="B45" s="113"/>
      <c r="C45" s="107"/>
      <c r="D45" s="169" t="s">
        <v>59</v>
      </c>
      <c r="E45" s="107"/>
      <c r="F45" s="170" t="s">
        <v>88</v>
      </c>
      <c r="G45" s="576"/>
      <c r="H45" s="125"/>
      <c r="I45" s="171" t="s">
        <v>140</v>
      </c>
      <c r="J45" s="172">
        <v>2000</v>
      </c>
      <c r="K45" s="125" t="s">
        <v>141</v>
      </c>
      <c r="L45" s="107"/>
      <c r="M45" s="107"/>
      <c r="N45" s="169" t="s">
        <v>59</v>
      </c>
      <c r="O45" s="179">
        <v>1000000</v>
      </c>
      <c r="P45" s="169" t="s">
        <v>68</v>
      </c>
      <c r="Q45" s="113"/>
      <c r="R45" s="125"/>
      <c r="S45" s="171" t="s">
        <v>140</v>
      </c>
      <c r="T45" s="172">
        <v>2000</v>
      </c>
      <c r="U45" s="125" t="s">
        <v>141</v>
      </c>
    </row>
    <row r="46" spans="1:21" ht="14.25" customHeight="1">
      <c r="A46" s="125"/>
      <c r="B46" s="125"/>
      <c r="C46" s="125"/>
      <c r="D46" s="125"/>
      <c r="E46" s="125"/>
      <c r="F46" s="125"/>
      <c r="L46" s="125"/>
      <c r="M46" s="125"/>
      <c r="N46" s="125"/>
      <c r="O46" s="125"/>
      <c r="P46" s="125"/>
      <c r="Q46" s="125"/>
      <c r="R46" s="125"/>
      <c r="S46" s="125"/>
      <c r="T46" s="125"/>
      <c r="U46" s="125"/>
    </row>
    <row r="47" spans="1:21" ht="14.25" customHeight="1">
      <c r="A47" s="159"/>
      <c r="B47" s="174">
        <f>(B44*E44*H44+M44*O44*R44/1000000)/2000</f>
        <v>4.3290025488394202</v>
      </c>
      <c r="C47" s="174"/>
      <c r="D47" s="125" t="s">
        <v>142</v>
      </c>
      <c r="E47" s="159" t="s">
        <v>86</v>
      </c>
      <c r="F47" s="132">
        <f>B47*(2000/8760)</f>
        <v>0.98835674631036985</v>
      </c>
      <c r="G47" s="125" t="s">
        <v>143</v>
      </c>
      <c r="L47" s="125" t="s">
        <v>143</v>
      </c>
      <c r="N47" s="125"/>
      <c r="O47" s="125"/>
      <c r="P47" s="125"/>
      <c r="Q47" s="125"/>
      <c r="R47" s="125"/>
      <c r="S47" s="125"/>
      <c r="T47" s="125"/>
      <c r="U47" s="125"/>
    </row>
    <row r="48" spans="1:21" ht="14.25" customHeight="1">
      <c r="A48" s="125"/>
      <c r="B48" s="125"/>
      <c r="C48" s="125"/>
      <c r="D48" s="125"/>
      <c r="E48" s="125"/>
      <c r="F48" s="125"/>
      <c r="L48" s="125"/>
      <c r="M48" s="125"/>
      <c r="N48" s="125"/>
      <c r="O48" s="125"/>
      <c r="P48" s="125"/>
      <c r="Q48" s="125"/>
      <c r="R48" s="125"/>
      <c r="S48" s="125"/>
      <c r="T48" s="125"/>
      <c r="U48" s="125"/>
    </row>
    <row r="49" spans="1:21" ht="14.25" customHeight="1">
      <c r="A49" s="125"/>
      <c r="B49" s="125"/>
      <c r="C49" s="125"/>
      <c r="D49" s="125"/>
      <c r="E49" s="125"/>
      <c r="F49" s="125"/>
      <c r="L49" s="125"/>
      <c r="M49" s="125"/>
      <c r="N49" s="125"/>
      <c r="O49" s="125"/>
      <c r="P49" s="125"/>
      <c r="Q49" s="125"/>
      <c r="R49" s="125"/>
      <c r="S49" s="125"/>
      <c r="T49" s="125"/>
      <c r="U49" s="125"/>
    </row>
    <row r="50" spans="1:21" ht="14.25" customHeight="1">
      <c r="A50" s="159" t="s">
        <v>148</v>
      </c>
      <c r="B50" s="160">
        <f>B16</f>
        <v>459277.14</v>
      </c>
      <c r="C50" s="161"/>
      <c r="D50" s="162" t="s">
        <v>133</v>
      </c>
      <c r="E50" s="163">
        <v>0.13800000000000001</v>
      </c>
      <c r="F50" s="164" t="s">
        <v>134</v>
      </c>
      <c r="G50" s="576" t="s">
        <v>135</v>
      </c>
      <c r="H50" s="165">
        <f>C9</f>
        <v>3.5700000000000003E-2</v>
      </c>
      <c r="I50" s="166" t="s">
        <v>136</v>
      </c>
      <c r="J50" s="165">
        <v>1</v>
      </c>
      <c r="K50" s="165" t="s">
        <v>90</v>
      </c>
      <c r="L50" s="167" t="s">
        <v>137</v>
      </c>
      <c r="M50" s="168">
        <f>B17</f>
        <v>949989652.37</v>
      </c>
      <c r="N50" s="162" t="s">
        <v>138</v>
      </c>
      <c r="O50" s="161">
        <v>1020</v>
      </c>
      <c r="P50" s="162" t="s">
        <v>139</v>
      </c>
      <c r="Q50" s="113" t="s">
        <v>135</v>
      </c>
      <c r="R50" s="165">
        <f>B9</f>
        <v>6.6E-3</v>
      </c>
      <c r="S50" s="166" t="s">
        <v>136</v>
      </c>
      <c r="T50" s="165">
        <v>1</v>
      </c>
      <c r="U50" s="165" t="s">
        <v>90</v>
      </c>
    </row>
    <row r="51" spans="1:21" ht="14.25" customHeight="1">
      <c r="A51" s="107"/>
      <c r="B51" s="113"/>
      <c r="C51" s="107"/>
      <c r="D51" s="169" t="s">
        <v>59</v>
      </c>
      <c r="E51" s="107"/>
      <c r="F51" s="170" t="s">
        <v>88</v>
      </c>
      <c r="G51" s="576"/>
      <c r="H51" s="125"/>
      <c r="I51" s="171" t="s">
        <v>140</v>
      </c>
      <c r="J51" s="172">
        <v>2000</v>
      </c>
      <c r="K51" s="125" t="s">
        <v>141</v>
      </c>
      <c r="L51" s="107"/>
      <c r="M51" s="107"/>
      <c r="N51" s="169" t="s">
        <v>59</v>
      </c>
      <c r="O51" s="179">
        <v>1000000</v>
      </c>
      <c r="P51" s="169" t="s">
        <v>68</v>
      </c>
      <c r="Q51" s="113"/>
      <c r="R51" s="125"/>
      <c r="S51" s="171" t="s">
        <v>140</v>
      </c>
      <c r="T51" s="172">
        <v>2000</v>
      </c>
      <c r="U51" s="125" t="s">
        <v>141</v>
      </c>
    </row>
    <row r="52" spans="1:21" ht="14.25" customHeight="1">
      <c r="A52" s="125"/>
      <c r="B52" s="125"/>
      <c r="C52" s="125"/>
      <c r="D52" s="125"/>
      <c r="E52" s="125"/>
      <c r="F52" s="125"/>
      <c r="L52" s="125"/>
      <c r="M52" s="125"/>
      <c r="N52" s="125"/>
      <c r="O52" s="125"/>
      <c r="P52" s="125"/>
      <c r="Q52" s="125"/>
      <c r="R52" s="125"/>
      <c r="S52" s="125"/>
      <c r="T52" s="125"/>
      <c r="U52" s="125"/>
    </row>
    <row r="53" spans="1:21" ht="14.25" customHeight="1">
      <c r="A53" s="159"/>
      <c r="B53" s="174">
        <f>(B50*E50*H50+M50*O50*R50/1000000)/2000</f>
        <v>4.3290025488394202</v>
      </c>
      <c r="C53" s="174"/>
      <c r="D53" s="125" t="s">
        <v>142</v>
      </c>
      <c r="E53" s="159" t="s">
        <v>86</v>
      </c>
      <c r="F53" s="132">
        <f>B53*(2000/8760)</f>
        <v>0.98835674631036985</v>
      </c>
      <c r="G53" s="125" t="s">
        <v>143</v>
      </c>
      <c r="L53" s="125" t="s">
        <v>143</v>
      </c>
      <c r="N53" s="125"/>
      <c r="O53" s="125"/>
      <c r="P53" s="125"/>
      <c r="Q53" s="125"/>
      <c r="R53" s="125"/>
      <c r="S53" s="125"/>
      <c r="T53" s="125"/>
      <c r="U53" s="125"/>
    </row>
    <row r="54" spans="1:21" ht="14.25" customHeight="1">
      <c r="A54" s="125"/>
      <c r="B54" s="125"/>
      <c r="C54" s="125"/>
      <c r="D54" s="125"/>
      <c r="E54" s="125"/>
      <c r="F54" s="125"/>
      <c r="L54" s="125"/>
      <c r="M54" s="125"/>
      <c r="N54" s="125"/>
      <c r="O54" s="125"/>
      <c r="P54" s="125"/>
      <c r="Q54" s="125"/>
      <c r="R54" s="125"/>
      <c r="S54" s="125"/>
      <c r="T54" s="125"/>
      <c r="U54" s="125"/>
    </row>
    <row r="55" spans="1:21" ht="14.25" customHeight="1">
      <c r="A55" s="125"/>
      <c r="B55" s="125"/>
      <c r="C55" s="125"/>
      <c r="D55" s="125"/>
      <c r="E55" s="125"/>
      <c r="F55" s="125"/>
      <c r="L55" s="125"/>
      <c r="M55" s="125"/>
      <c r="N55" s="125"/>
      <c r="O55" s="125"/>
      <c r="P55" s="125"/>
      <c r="Q55" s="125"/>
      <c r="R55" s="125"/>
      <c r="S55" s="125"/>
      <c r="T55" s="125"/>
      <c r="U55" s="125"/>
    </row>
    <row r="56" spans="1:21" ht="14.25" customHeight="1">
      <c r="A56" s="159" t="s">
        <v>149</v>
      </c>
      <c r="B56" s="160">
        <f>B16</f>
        <v>459277.14</v>
      </c>
      <c r="C56" s="161"/>
      <c r="D56" s="162" t="s">
        <v>133</v>
      </c>
      <c r="E56" s="163">
        <v>0.13800000000000001</v>
      </c>
      <c r="F56" s="164" t="s">
        <v>134</v>
      </c>
      <c r="G56" s="576" t="s">
        <v>135</v>
      </c>
      <c r="H56" s="165">
        <f>1.01*B18</f>
        <v>7.0699999999999995E-4</v>
      </c>
      <c r="I56" s="166" t="s">
        <v>136</v>
      </c>
      <c r="J56" s="165">
        <v>1</v>
      </c>
      <c r="K56" s="165" t="s">
        <v>90</v>
      </c>
      <c r="L56" s="167" t="s">
        <v>137</v>
      </c>
      <c r="M56" s="168">
        <f>B17</f>
        <v>949989652.37</v>
      </c>
      <c r="N56" s="162" t="s">
        <v>138</v>
      </c>
      <c r="O56" s="161">
        <v>1020</v>
      </c>
      <c r="P56" s="162" t="s">
        <v>139</v>
      </c>
      <c r="Q56" s="113" t="s">
        <v>135</v>
      </c>
      <c r="R56" s="165">
        <f>B10</f>
        <v>2.8E-3</v>
      </c>
      <c r="S56" s="166" t="s">
        <v>136</v>
      </c>
      <c r="T56" s="165">
        <v>1</v>
      </c>
      <c r="U56" s="165" t="s">
        <v>90</v>
      </c>
    </row>
    <row r="57" spans="1:21" ht="14.25" customHeight="1">
      <c r="A57" s="107"/>
      <c r="B57" s="113"/>
      <c r="C57" s="107"/>
      <c r="D57" s="169" t="s">
        <v>59</v>
      </c>
      <c r="E57" s="107"/>
      <c r="F57" s="170" t="s">
        <v>88</v>
      </c>
      <c r="G57" s="576"/>
      <c r="H57" s="125"/>
      <c r="I57" s="171" t="s">
        <v>140</v>
      </c>
      <c r="J57" s="172">
        <v>2000</v>
      </c>
      <c r="K57" s="125" t="s">
        <v>141</v>
      </c>
      <c r="L57" s="107"/>
      <c r="M57" s="107"/>
      <c r="N57" s="169" t="s">
        <v>59</v>
      </c>
      <c r="O57" s="179">
        <v>1000000</v>
      </c>
      <c r="P57" s="169" t="s">
        <v>68</v>
      </c>
      <c r="Q57" s="113"/>
      <c r="R57" s="125"/>
      <c r="S57" s="171" t="s">
        <v>140</v>
      </c>
      <c r="T57" s="172">
        <v>2000</v>
      </c>
      <c r="U57" s="125" t="s">
        <v>141</v>
      </c>
    </row>
    <row r="58" spans="1:21" ht="14.25" customHeight="1">
      <c r="A58" s="125"/>
      <c r="B58" s="125"/>
      <c r="C58" s="125"/>
      <c r="D58" s="125"/>
      <c r="E58" s="125"/>
      <c r="F58" s="125"/>
      <c r="L58" s="125"/>
      <c r="M58" s="125"/>
      <c r="N58" s="125"/>
      <c r="O58" s="125"/>
      <c r="P58" s="125"/>
      <c r="Q58" s="125"/>
      <c r="R58" s="125"/>
      <c r="S58" s="125"/>
      <c r="T58" s="125"/>
      <c r="U58" s="125"/>
    </row>
    <row r="59" spans="1:21" ht="14.25" customHeight="1">
      <c r="A59" s="159"/>
      <c r="B59" s="174">
        <f>(B56*E56*H56+M56*O56*R56/1000000)/2000</f>
        <v>1.37899014030498</v>
      </c>
      <c r="C59" s="174"/>
      <c r="D59" s="125" t="s">
        <v>142</v>
      </c>
      <c r="E59" s="159" t="s">
        <v>86</v>
      </c>
      <c r="F59" s="132">
        <f>B59*(2000/8760)</f>
        <v>0.31483793157647944</v>
      </c>
      <c r="G59" s="125" t="s">
        <v>143</v>
      </c>
      <c r="L59" s="125" t="s">
        <v>143</v>
      </c>
      <c r="N59" s="125"/>
      <c r="O59" s="125"/>
      <c r="P59" s="125"/>
      <c r="Q59" s="125"/>
      <c r="R59" s="125"/>
      <c r="S59" s="125"/>
      <c r="T59" s="125"/>
      <c r="U59" s="125"/>
    </row>
    <row r="60" spans="1:21" ht="14.25" customHeight="1">
      <c r="A60" s="125"/>
      <c r="B60" s="125"/>
      <c r="C60" s="125"/>
      <c r="D60" s="125"/>
      <c r="E60" s="125"/>
      <c r="F60" s="125"/>
      <c r="L60" s="125"/>
      <c r="M60" s="125"/>
      <c r="N60" s="125"/>
      <c r="O60" s="125"/>
      <c r="P60" s="125"/>
      <c r="Q60" s="125"/>
      <c r="R60" s="125"/>
      <c r="S60" s="125"/>
      <c r="T60" s="125"/>
      <c r="U60" s="125"/>
    </row>
    <row r="61" spans="1:21" ht="14.25" customHeight="1">
      <c r="A61" s="125"/>
      <c r="B61" s="125"/>
      <c r="C61" s="125"/>
      <c r="D61" s="125"/>
      <c r="E61" s="125"/>
      <c r="F61" s="125"/>
      <c r="L61" s="125"/>
      <c r="M61" s="125"/>
      <c r="N61" s="125"/>
      <c r="O61" s="125"/>
      <c r="P61" s="125"/>
      <c r="Q61" s="125"/>
      <c r="R61" s="125"/>
      <c r="S61" s="125"/>
      <c r="T61" s="125"/>
      <c r="U61" s="125"/>
    </row>
    <row r="62" spans="1:21" ht="14.25" customHeight="1">
      <c r="A62" s="159" t="s">
        <v>151</v>
      </c>
      <c r="B62" s="160">
        <f>B16</f>
        <v>459277.14</v>
      </c>
      <c r="C62" s="161"/>
      <c r="D62" s="162" t="s">
        <v>133</v>
      </c>
      <c r="E62" s="163">
        <v>0.13800000000000001</v>
      </c>
      <c r="F62" s="164" t="s">
        <v>134</v>
      </c>
      <c r="G62" s="576" t="s">
        <v>135</v>
      </c>
      <c r="H62" s="165">
        <f>C11</f>
        <v>7.7000000000000002E-3</v>
      </c>
      <c r="I62" s="166" t="s">
        <v>136</v>
      </c>
      <c r="J62" s="165">
        <v>1</v>
      </c>
      <c r="K62" s="165" t="s">
        <v>90</v>
      </c>
      <c r="L62" s="167" t="s">
        <v>137</v>
      </c>
      <c r="M62" s="168">
        <f>B17</f>
        <v>949989652.37</v>
      </c>
      <c r="N62" s="162" t="s">
        <v>138</v>
      </c>
      <c r="O62" s="161">
        <v>1020</v>
      </c>
      <c r="P62" s="162" t="s">
        <v>139</v>
      </c>
      <c r="Q62" s="113" t="s">
        <v>135</v>
      </c>
      <c r="R62" s="165">
        <f>B11</f>
        <v>4.2999999999999999E-4</v>
      </c>
      <c r="S62" s="166" t="s">
        <v>136</v>
      </c>
      <c r="T62" s="165">
        <v>1</v>
      </c>
      <c r="U62" s="165" t="s">
        <v>90</v>
      </c>
    </row>
    <row r="63" spans="1:21" ht="14.25" customHeight="1">
      <c r="A63" s="107"/>
      <c r="B63" s="113"/>
      <c r="C63" s="107"/>
      <c r="D63" s="169" t="s">
        <v>59</v>
      </c>
      <c r="E63" s="107"/>
      <c r="F63" s="170" t="s">
        <v>88</v>
      </c>
      <c r="G63" s="576"/>
      <c r="H63" s="125"/>
      <c r="I63" s="171" t="s">
        <v>140</v>
      </c>
      <c r="J63" s="172">
        <v>2000</v>
      </c>
      <c r="K63" s="125" t="s">
        <v>141</v>
      </c>
      <c r="L63" s="107"/>
      <c r="M63" s="107"/>
      <c r="N63" s="169" t="s">
        <v>59</v>
      </c>
      <c r="O63" s="179">
        <v>1000000</v>
      </c>
      <c r="P63" s="169" t="s">
        <v>68</v>
      </c>
      <c r="Q63" s="113"/>
      <c r="R63" s="125"/>
      <c r="S63" s="171" t="s">
        <v>140</v>
      </c>
      <c r="T63" s="172">
        <v>2000</v>
      </c>
      <c r="U63" s="125" t="s">
        <v>141</v>
      </c>
    </row>
    <row r="64" spans="1:21" ht="14.25" customHeight="1">
      <c r="A64" s="125"/>
      <c r="B64" s="125"/>
      <c r="C64" s="125"/>
      <c r="D64" s="125"/>
      <c r="E64" s="125"/>
      <c r="F64" s="125"/>
      <c r="L64" s="125"/>
      <c r="M64" s="125"/>
      <c r="N64" s="125"/>
      <c r="O64" s="125"/>
      <c r="P64" s="125"/>
      <c r="Q64" s="125"/>
      <c r="R64" s="125"/>
      <c r="S64" s="125"/>
      <c r="T64" s="125"/>
      <c r="U64" s="125"/>
    </row>
    <row r="65" spans="1:21" ht="14.25" customHeight="1">
      <c r="A65" s="159"/>
      <c r="B65" s="174">
        <f>(B62*E62*H62+M62*O62*R62/1000000)/2000</f>
        <v>0.45234667524674105</v>
      </c>
      <c r="C65" s="174"/>
      <c r="D65" s="125" t="s">
        <v>142</v>
      </c>
      <c r="E65" s="159" t="s">
        <v>86</v>
      </c>
      <c r="F65" s="132">
        <f>B65*(2000/8760)</f>
        <v>0.10327549663167604</v>
      </c>
      <c r="G65" s="125" t="s">
        <v>143</v>
      </c>
      <c r="L65" s="125" t="s">
        <v>143</v>
      </c>
      <c r="N65" s="125"/>
      <c r="O65" s="125"/>
      <c r="P65" s="125"/>
      <c r="Q65" s="125"/>
      <c r="R65" s="125"/>
      <c r="S65" s="125"/>
      <c r="T65" s="125"/>
      <c r="U65" s="125"/>
    </row>
    <row r="66" spans="1:21" ht="14.25" customHeight="1">
      <c r="A66" s="125"/>
      <c r="B66" s="125"/>
      <c r="C66" s="125"/>
      <c r="D66" s="125"/>
      <c r="E66" s="125"/>
      <c r="F66" s="125"/>
      <c r="L66" s="125"/>
      <c r="M66" s="125"/>
      <c r="N66" s="125"/>
      <c r="O66" s="125"/>
      <c r="P66" s="125"/>
      <c r="Q66" s="125"/>
      <c r="R66" s="125"/>
      <c r="S66" s="125"/>
      <c r="T66" s="125"/>
      <c r="U66" s="125"/>
    </row>
    <row r="67" spans="1:21" ht="14.25" customHeight="1">
      <c r="A67" s="125"/>
      <c r="B67" s="125"/>
      <c r="C67" s="125"/>
      <c r="D67" s="125"/>
      <c r="E67" s="125"/>
      <c r="F67" s="125"/>
      <c r="L67" s="125"/>
      <c r="M67" s="125"/>
      <c r="N67" s="125"/>
      <c r="O67" s="125"/>
      <c r="P67" s="125"/>
      <c r="Q67" s="125"/>
      <c r="R67" s="125"/>
      <c r="S67" s="125"/>
      <c r="T67" s="125"/>
      <c r="U67" s="125"/>
    </row>
    <row r="68" spans="1:21" ht="14.25" customHeight="1">
      <c r="A68" s="159" t="s">
        <v>152</v>
      </c>
      <c r="B68" s="160">
        <f>B16</f>
        <v>459277.14</v>
      </c>
      <c r="C68" s="161"/>
      <c r="D68" s="162" t="s">
        <v>133</v>
      </c>
      <c r="E68" s="163">
        <v>0.13800000000000001</v>
      </c>
      <c r="F68" s="164" t="s">
        <v>134</v>
      </c>
      <c r="G68" s="576" t="s">
        <v>135</v>
      </c>
      <c r="H68" s="181">
        <f>C12</f>
        <v>9.0000000000000002E-6</v>
      </c>
      <c r="I68" s="166" t="s">
        <v>136</v>
      </c>
      <c r="J68" s="165">
        <v>1</v>
      </c>
      <c r="K68" s="165" t="s">
        <v>90</v>
      </c>
      <c r="L68" s="167" t="s">
        <v>137</v>
      </c>
      <c r="M68" s="168">
        <f>B17</f>
        <v>949989652.37</v>
      </c>
      <c r="N68" s="162" t="s">
        <v>138</v>
      </c>
      <c r="O68" s="161">
        <v>1020</v>
      </c>
      <c r="P68" s="162" t="s">
        <v>139</v>
      </c>
      <c r="Q68" s="113" t="s">
        <v>135</v>
      </c>
      <c r="R68" s="165">
        <f>B12</f>
        <v>0</v>
      </c>
      <c r="S68" s="166" t="s">
        <v>136</v>
      </c>
      <c r="T68" s="165">
        <v>1</v>
      </c>
      <c r="U68" s="165" t="s">
        <v>90</v>
      </c>
    </row>
    <row r="69" spans="1:21" ht="14.25" customHeight="1">
      <c r="A69" s="107"/>
      <c r="B69" s="113"/>
      <c r="C69" s="107"/>
      <c r="D69" s="169" t="s">
        <v>59</v>
      </c>
      <c r="E69" s="107"/>
      <c r="F69" s="170" t="s">
        <v>88</v>
      </c>
      <c r="G69" s="576"/>
      <c r="H69" s="125"/>
      <c r="I69" s="171" t="s">
        <v>140</v>
      </c>
      <c r="J69" s="172">
        <v>2000</v>
      </c>
      <c r="K69" s="125" t="s">
        <v>141</v>
      </c>
      <c r="L69" s="107"/>
      <c r="M69" s="107"/>
      <c r="N69" s="169" t="s">
        <v>59</v>
      </c>
      <c r="O69" s="179">
        <v>1000000</v>
      </c>
      <c r="P69" s="169" t="s">
        <v>68</v>
      </c>
      <c r="Q69" s="113"/>
      <c r="R69" s="125"/>
      <c r="S69" s="171" t="s">
        <v>140</v>
      </c>
      <c r="T69" s="172">
        <v>2000</v>
      </c>
      <c r="U69" s="125" t="s">
        <v>141</v>
      </c>
    </row>
    <row r="70" spans="1:21" ht="14.25" customHeight="1">
      <c r="A70" s="125"/>
      <c r="B70" s="125"/>
      <c r="C70" s="125"/>
      <c r="D70" s="125"/>
      <c r="E70" s="125"/>
      <c r="F70" s="125"/>
      <c r="G70" s="125"/>
      <c r="H70" s="125"/>
      <c r="I70" s="125"/>
      <c r="J70" s="125"/>
      <c r="K70" s="125"/>
      <c r="L70" s="125"/>
      <c r="M70" s="125"/>
      <c r="N70" s="125"/>
      <c r="O70" s="125"/>
      <c r="P70" s="125"/>
    </row>
    <row r="71" spans="1:21" ht="14.25" customHeight="1">
      <c r="A71" s="159"/>
      <c r="B71" s="174">
        <f>(B68*E68*H68+M68*O68*R68/1000000)/2000</f>
        <v>2.8521110394000006E-4</v>
      </c>
      <c r="C71" s="174"/>
      <c r="D71" s="125" t="s">
        <v>142</v>
      </c>
      <c r="E71" s="159" t="s">
        <v>86</v>
      </c>
      <c r="F71" s="132">
        <f>B71*(2000/8760)</f>
        <v>6.5116690397260281E-5</v>
      </c>
      <c r="G71" s="125" t="s">
        <v>143</v>
      </c>
      <c r="I71" s="125"/>
      <c r="J71" s="125"/>
      <c r="K71" s="125"/>
      <c r="L71" s="125"/>
      <c r="M71" s="125"/>
      <c r="N71" s="125"/>
      <c r="O71" s="125"/>
      <c r="P71" s="125"/>
    </row>
    <row r="74" spans="1:21" ht="14.25" customHeight="1">
      <c r="A74" s="159" t="s">
        <v>153</v>
      </c>
      <c r="B74" s="160">
        <f>B16</f>
        <v>459277.14</v>
      </c>
      <c r="C74" s="161"/>
      <c r="D74" s="162" t="s">
        <v>133</v>
      </c>
      <c r="E74" s="182">
        <f>W11</f>
        <v>22.578420600240001</v>
      </c>
      <c r="F74" s="164" t="s">
        <v>141</v>
      </c>
      <c r="G74" s="576" t="s">
        <v>135</v>
      </c>
      <c r="H74" s="165">
        <v>1</v>
      </c>
      <c r="I74" s="165" t="s">
        <v>90</v>
      </c>
      <c r="J74" s="167" t="s">
        <v>137</v>
      </c>
      <c r="M74" s="168">
        <f>B17</f>
        <v>949989652.37</v>
      </c>
      <c r="N74" s="162" t="s">
        <v>138</v>
      </c>
      <c r="O74" s="183">
        <f>W12</f>
        <v>0.12049378638965323</v>
      </c>
      <c r="P74" s="162" t="s">
        <v>141</v>
      </c>
      <c r="Q74" s="113" t="s">
        <v>135</v>
      </c>
      <c r="R74" s="165">
        <v>1</v>
      </c>
      <c r="S74" s="165" t="s">
        <v>90</v>
      </c>
    </row>
    <row r="75" spans="1:21" ht="14.25" customHeight="1">
      <c r="A75" s="107"/>
      <c r="B75" s="113"/>
      <c r="C75" s="107"/>
      <c r="D75" s="169" t="s">
        <v>59</v>
      </c>
      <c r="E75" s="107"/>
      <c r="F75" s="170" t="s">
        <v>88</v>
      </c>
      <c r="G75" s="576"/>
      <c r="H75" s="172">
        <v>2000</v>
      </c>
      <c r="I75" s="125" t="s">
        <v>141</v>
      </c>
      <c r="J75" s="107"/>
      <c r="M75" s="107"/>
      <c r="N75" s="169" t="s">
        <v>59</v>
      </c>
      <c r="O75" s="179"/>
      <c r="P75" s="169" t="s">
        <v>68</v>
      </c>
      <c r="Q75" s="113"/>
      <c r="R75" s="172">
        <v>2000</v>
      </c>
      <c r="S75" s="125" t="s">
        <v>141</v>
      </c>
    </row>
    <row r="76" spans="1:21" ht="14.25" customHeight="1">
      <c r="A76" s="125"/>
      <c r="B76" s="125"/>
      <c r="C76" s="125"/>
      <c r="D76" s="125"/>
      <c r="E76" s="125"/>
      <c r="F76" s="125"/>
      <c r="L76" s="125"/>
      <c r="M76" s="125"/>
      <c r="N76" s="125"/>
      <c r="O76" s="125"/>
      <c r="P76" s="125"/>
      <c r="Q76" s="125"/>
      <c r="R76" s="125"/>
      <c r="S76" s="125"/>
      <c r="T76" s="125"/>
      <c r="U76" s="125"/>
    </row>
    <row r="77" spans="1:21" ht="14.25" customHeight="1">
      <c r="A77" s="159"/>
      <c r="B77" s="174">
        <f>(B74*E74+M74*O74)/H75</f>
        <v>62418.801342023515</v>
      </c>
      <c r="C77" s="174"/>
      <c r="D77" s="125" t="s">
        <v>142</v>
      </c>
      <c r="E77" s="159" t="s">
        <v>86</v>
      </c>
      <c r="F77" s="132">
        <f>B77*(2000/8760)</f>
        <v>14250.867886306738</v>
      </c>
      <c r="G77" s="125" t="s">
        <v>143</v>
      </c>
      <c r="L77" s="125"/>
      <c r="N77" s="125"/>
      <c r="O77" s="125"/>
      <c r="P77" s="125"/>
      <c r="Q77" s="125"/>
      <c r="R77" s="125"/>
      <c r="S77" s="125"/>
      <c r="T77" s="125"/>
      <c r="U77" s="125"/>
    </row>
    <row r="78" spans="1:21" ht="14.25" customHeight="1">
      <c r="A78" s="125"/>
      <c r="B78" s="125"/>
      <c r="C78" s="125"/>
      <c r="D78" s="125"/>
      <c r="E78" s="125"/>
      <c r="F78" s="125"/>
      <c r="L78" s="125"/>
      <c r="M78" s="125"/>
      <c r="N78" s="125"/>
      <c r="O78" s="125"/>
      <c r="P78" s="125"/>
      <c r="Q78" s="125"/>
      <c r="R78" s="125"/>
      <c r="S78" s="125"/>
      <c r="T78" s="125"/>
      <c r="U78" s="125"/>
    </row>
    <row r="79" spans="1:21" ht="14.25" customHeight="1">
      <c r="A79" s="125"/>
      <c r="B79" s="125"/>
      <c r="C79" s="125"/>
      <c r="D79" s="125"/>
      <c r="E79" s="125"/>
      <c r="F79" s="125"/>
      <c r="L79" s="125"/>
      <c r="M79" s="125"/>
      <c r="N79" s="125"/>
      <c r="O79" s="125"/>
      <c r="P79" s="125"/>
      <c r="Q79" s="125"/>
      <c r="R79" s="125"/>
      <c r="S79" s="125"/>
      <c r="T79" s="125"/>
      <c r="U79" s="125"/>
    </row>
    <row r="80" spans="1:21" ht="14.25" customHeight="1">
      <c r="A80" s="85"/>
      <c r="B80" s="81" t="s">
        <v>154</v>
      </c>
      <c r="C80" s="81"/>
      <c r="D80" s="81"/>
      <c r="E80" s="81"/>
      <c r="F80" s="81"/>
      <c r="G80" s="81"/>
      <c r="H80" s="81"/>
      <c r="I80" s="81"/>
      <c r="J80" s="81"/>
      <c r="K80" s="85"/>
      <c r="L80" s="85"/>
      <c r="M80" s="85"/>
      <c r="N80" s="85"/>
      <c r="O80" s="85"/>
      <c r="P80" s="85"/>
    </row>
    <row r="81" spans="2:10" ht="14.25" customHeight="1">
      <c r="B81" s="81" t="s">
        <v>155</v>
      </c>
      <c r="C81" s="81"/>
      <c r="D81" s="81"/>
      <c r="E81" s="81"/>
      <c r="F81" s="81"/>
      <c r="G81" s="81"/>
      <c r="H81" s="81"/>
      <c r="I81" s="81"/>
      <c r="J81" s="81"/>
    </row>
    <row r="82" spans="2:10" ht="14.25" customHeight="1">
      <c r="B82" s="81" t="s">
        <v>156</v>
      </c>
      <c r="C82" s="81"/>
      <c r="D82" s="81"/>
      <c r="E82" s="81"/>
      <c r="F82" s="81"/>
      <c r="G82" s="81"/>
      <c r="H82" s="81"/>
      <c r="I82" s="81"/>
      <c r="J82" s="81"/>
    </row>
    <row r="83" spans="2:10" ht="14.25" customHeight="1">
      <c r="B83" s="81" t="s">
        <v>157</v>
      </c>
      <c r="C83" s="81"/>
      <c r="D83" s="85"/>
      <c r="E83" s="85"/>
      <c r="F83" s="85"/>
      <c r="G83" s="85"/>
      <c r="H83" s="85"/>
      <c r="I83" s="85"/>
      <c r="J83" s="85"/>
    </row>
  </sheetData>
  <mergeCells count="13">
    <mergeCell ref="A1:P1"/>
    <mergeCell ref="F6:N6"/>
    <mergeCell ref="G20:G21"/>
    <mergeCell ref="Q20:Q21"/>
    <mergeCell ref="G26:G27"/>
    <mergeCell ref="G62:G63"/>
    <mergeCell ref="G68:G69"/>
    <mergeCell ref="G74:G75"/>
    <mergeCell ref="G32:G33"/>
    <mergeCell ref="G38:G39"/>
    <mergeCell ref="G44:G45"/>
    <mergeCell ref="G50:G51"/>
    <mergeCell ref="G56:G57"/>
  </mergeCells>
  <pageMargins left="0.7" right="0.7" top="0.75" bottom="0.75" header="0.511811023622047" footer="0.511811023622047"/>
  <pageSetup paperSize="9" orientation="portrait" horizontalDpi="300" verticalDpi="300"/>
  <legacyDrawing r:id="rId1"/>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X83"/>
  <sheetViews>
    <sheetView topLeftCell="A10" zoomScaleNormal="100" workbookViewId="0">
      <selection activeCell="C17" sqref="C17"/>
    </sheetView>
  </sheetViews>
  <sheetFormatPr defaultColWidth="8.7109375" defaultRowHeight="15"/>
  <cols>
    <col min="1" max="2" width="18.28515625" customWidth="1"/>
    <col min="3" max="3" width="16.5703125" customWidth="1"/>
    <col min="4" max="4" width="12.42578125" customWidth="1"/>
    <col min="5" max="5" width="11.5703125" customWidth="1"/>
    <col min="6" max="6" width="13.5703125" customWidth="1"/>
    <col min="7" max="7" width="4.85546875" customWidth="1"/>
    <col min="8" max="8" width="8.42578125" customWidth="1"/>
    <col min="9" max="9" width="8.28515625" customWidth="1"/>
    <col min="10" max="10" width="5.5703125" customWidth="1"/>
    <col min="11" max="11" width="3.42578125" customWidth="1"/>
    <col min="12" max="12" width="4.5703125" customWidth="1"/>
    <col min="13" max="13" width="12.7109375" customWidth="1"/>
    <col min="14" max="14" width="8.5703125" customWidth="1"/>
    <col min="15" max="15" width="9.140625" customWidth="1"/>
    <col min="16" max="16" width="8.28515625" customWidth="1"/>
    <col min="17" max="17" width="1.7109375" customWidth="1"/>
    <col min="18" max="18" width="8" customWidth="1"/>
    <col min="19" max="19" width="8.28515625" customWidth="1"/>
    <col min="20" max="20" width="5.5703125" customWidth="1"/>
    <col min="21" max="21" width="3.42578125" customWidth="1"/>
  </cols>
  <sheetData>
    <row r="1" spans="1:24" ht="14.25" customHeight="1">
      <c r="A1" s="578" t="s">
        <v>207</v>
      </c>
      <c r="B1" s="578"/>
      <c r="C1" s="578"/>
      <c r="D1" s="578"/>
      <c r="E1" s="578"/>
      <c r="F1" s="578"/>
      <c r="G1" s="578"/>
      <c r="H1" s="578"/>
      <c r="I1" s="578"/>
      <c r="J1" s="578"/>
      <c r="K1" s="578"/>
      <c r="L1" s="578"/>
      <c r="M1" s="578"/>
      <c r="N1" s="578"/>
      <c r="O1" s="578"/>
      <c r="P1" s="578"/>
    </row>
    <row r="2" spans="1:24" ht="14.25" customHeight="1">
      <c r="A2" s="125"/>
      <c r="B2" s="125"/>
      <c r="C2" s="125"/>
      <c r="D2" s="125"/>
      <c r="E2" s="125"/>
      <c r="F2" s="125"/>
      <c r="G2" s="125"/>
      <c r="H2" s="125"/>
      <c r="I2" s="125"/>
      <c r="J2" s="125"/>
      <c r="K2" s="125"/>
      <c r="L2" s="125"/>
      <c r="M2" s="125"/>
      <c r="N2" s="125"/>
      <c r="O2" s="125"/>
      <c r="P2" s="125"/>
    </row>
    <row r="3" spans="1:24" ht="30" customHeight="1">
      <c r="A3" s="126" t="s">
        <v>110</v>
      </c>
      <c r="B3" s="127" t="s">
        <v>111</v>
      </c>
      <c r="C3" s="127" t="s">
        <v>200</v>
      </c>
      <c r="D3" s="128" t="s">
        <v>113</v>
      </c>
      <c r="E3" s="128" t="s">
        <v>114</v>
      </c>
      <c r="M3" s="125"/>
      <c r="N3" s="125"/>
      <c r="O3" s="125"/>
      <c r="P3" s="125"/>
    </row>
    <row r="4" spans="1:24" ht="14.25" customHeight="1">
      <c r="A4" s="129" t="s">
        <v>14</v>
      </c>
      <c r="B4" s="236">
        <v>9.2099392372881395E-2</v>
      </c>
      <c r="C4" s="236">
        <v>0.108058493511864</v>
      </c>
      <c r="D4" s="111">
        <f>B23</f>
        <v>43.056640119176706</v>
      </c>
      <c r="E4" s="131">
        <f>F23</f>
        <v>9.8302831322321236</v>
      </c>
      <c r="J4" s="132"/>
      <c r="K4" s="133"/>
      <c r="L4" s="133"/>
      <c r="M4" s="125"/>
      <c r="N4" s="125"/>
      <c r="O4" s="125"/>
      <c r="P4" s="125"/>
    </row>
    <row r="5" spans="1:24" ht="14.25" customHeight="1">
      <c r="A5" s="134" t="s">
        <v>15</v>
      </c>
      <c r="B5" s="236">
        <v>2.2429676537803301E-2</v>
      </c>
      <c r="C5" s="236">
        <v>9.4426363060370194E-3</v>
      </c>
      <c r="D5" s="137">
        <f>B29</f>
        <v>10.48591620200636</v>
      </c>
      <c r="E5" s="138">
        <f>F29</f>
        <v>2.3940447949786208</v>
      </c>
      <c r="F5" s="125"/>
      <c r="G5" s="125"/>
      <c r="H5" s="125"/>
      <c r="I5" s="125"/>
      <c r="J5" s="125"/>
      <c r="K5" s="125"/>
      <c r="L5" s="125"/>
      <c r="M5" s="125"/>
      <c r="N5" s="125"/>
      <c r="O5" s="125"/>
      <c r="P5" s="125"/>
    </row>
    <row r="6" spans="1:24" ht="14.25" customHeight="1">
      <c r="A6" s="134" t="s">
        <v>16</v>
      </c>
      <c r="B6" s="135">
        <v>2.0999999999999999E-3</v>
      </c>
      <c r="C6" s="135">
        <v>8.3000000000000001E-3</v>
      </c>
      <c r="D6" s="137">
        <f>B35</f>
        <v>0.98175397166783984</v>
      </c>
      <c r="E6" s="138">
        <f>F35</f>
        <v>0.22414474238991777</v>
      </c>
      <c r="F6" s="579" t="s">
        <v>115</v>
      </c>
      <c r="G6" s="579"/>
      <c r="H6" s="579"/>
      <c r="I6" s="579"/>
      <c r="J6" s="579"/>
      <c r="K6" s="579"/>
      <c r="L6" s="579"/>
      <c r="M6" s="579"/>
      <c r="N6" s="579"/>
      <c r="O6" s="139"/>
      <c r="P6" s="139"/>
    </row>
    <row r="7" spans="1:24" ht="14.25" customHeight="1">
      <c r="A7" s="134" t="s">
        <v>11</v>
      </c>
      <c r="B7" s="135">
        <v>6.6E-3</v>
      </c>
      <c r="C7" s="135">
        <v>2.8400000000000002E-2</v>
      </c>
      <c r="D7" s="137">
        <f>B41</f>
        <v>3.0855124823846398</v>
      </c>
      <c r="E7" s="138">
        <f>F41</f>
        <v>0.70445490465402727</v>
      </c>
      <c r="F7" s="140" t="s">
        <v>116</v>
      </c>
      <c r="G7" s="141" t="s">
        <v>201</v>
      </c>
      <c r="I7" s="141"/>
      <c r="J7" s="141"/>
      <c r="K7" s="141"/>
      <c r="L7" s="141"/>
      <c r="M7" s="141"/>
      <c r="N7" s="141"/>
      <c r="O7" s="141"/>
      <c r="P7" s="141"/>
    </row>
    <row r="8" spans="1:24" ht="14.25" customHeight="1">
      <c r="A8" s="134" t="s">
        <v>12</v>
      </c>
      <c r="B8" s="135">
        <v>6.6E-3</v>
      </c>
      <c r="C8" s="135">
        <v>3.5700000000000003E-2</v>
      </c>
      <c r="D8" s="137">
        <f>B47</f>
        <v>3.0855124823846398</v>
      </c>
      <c r="E8" s="142">
        <f>F47</f>
        <v>0.70445490465402727</v>
      </c>
      <c r="F8" s="143"/>
      <c r="G8" s="141" t="s">
        <v>202</v>
      </c>
      <c r="H8" s="141"/>
      <c r="I8" s="141"/>
      <c r="J8" s="141"/>
      <c r="K8" s="141"/>
      <c r="L8" s="141"/>
      <c r="M8" s="141"/>
      <c r="N8" s="141"/>
      <c r="O8" s="141"/>
    </row>
    <row r="9" spans="1:24" ht="14.25" customHeight="1">
      <c r="A9" s="134" t="s">
        <v>34</v>
      </c>
      <c r="B9" s="135">
        <v>6.6E-3</v>
      </c>
      <c r="C9" s="135">
        <v>3.5700000000000003E-2</v>
      </c>
      <c r="D9" s="137">
        <f>B53</f>
        <v>3.0855124823846398</v>
      </c>
      <c r="E9" s="138">
        <f>F53</f>
        <v>0.70445490465402727</v>
      </c>
      <c r="F9" s="107"/>
      <c r="G9" s="141" t="s">
        <v>119</v>
      </c>
      <c r="H9" s="141"/>
      <c r="I9" s="141"/>
      <c r="J9" s="141"/>
      <c r="K9" s="141"/>
      <c r="L9" s="141"/>
      <c r="M9" s="141"/>
      <c r="N9" s="141"/>
      <c r="O9" s="141"/>
    </row>
    <row r="10" spans="1:24" ht="14.25" customHeight="1">
      <c r="A10" s="134" t="s">
        <v>13</v>
      </c>
      <c r="B10" s="135">
        <v>2.8E-3</v>
      </c>
      <c r="C10" s="136" t="s">
        <v>203</v>
      </c>
      <c r="D10" s="137">
        <f>B59</f>
        <v>1.3090052955571199</v>
      </c>
      <c r="E10" s="138">
        <f>F59</f>
        <v>0.29885965651989038</v>
      </c>
      <c r="F10" s="107"/>
      <c r="G10" s="107"/>
      <c r="H10" s="143"/>
      <c r="I10" s="143"/>
      <c r="J10" s="143"/>
      <c r="K10" s="143"/>
      <c r="L10" s="143"/>
      <c r="M10" s="143"/>
      <c r="N10" s="143"/>
      <c r="O10" s="143"/>
      <c r="P10" s="143"/>
    </row>
    <row r="11" spans="1:24" ht="14.25" customHeight="1">
      <c r="A11" s="134" t="s">
        <v>36</v>
      </c>
      <c r="B11" s="135">
        <v>4.2999999999999999E-4</v>
      </c>
      <c r="C11" s="135">
        <v>7.7000000000000002E-3</v>
      </c>
      <c r="D11" s="137">
        <f>B65</f>
        <v>0.20102581324627197</v>
      </c>
      <c r="E11" s="138">
        <f>F65</f>
        <v>4.5896304394126015E-2</v>
      </c>
      <c r="F11" s="144" t="s">
        <v>121</v>
      </c>
      <c r="G11" s="141" t="s">
        <v>122</v>
      </c>
      <c r="H11" s="141"/>
      <c r="I11" s="141"/>
      <c r="J11" s="141"/>
      <c r="K11" s="141"/>
      <c r="L11" s="141"/>
      <c r="N11" s="143"/>
      <c r="O11" s="143"/>
      <c r="P11" s="143"/>
      <c r="V11" t="s">
        <v>18</v>
      </c>
      <c r="W11">
        <f>(73.96+0.003*25+0.0006*298)*2.2046*0.138</f>
        <v>22.578420600240001</v>
      </c>
      <c r="X11" t="s">
        <v>123</v>
      </c>
    </row>
    <row r="12" spans="1:24" ht="14.25" customHeight="1">
      <c r="A12" s="134" t="s">
        <v>17</v>
      </c>
      <c r="B12" s="135">
        <v>0</v>
      </c>
      <c r="C12" s="135">
        <v>9.0000000000000002E-6</v>
      </c>
      <c r="D12" s="137">
        <f>B71</f>
        <v>0</v>
      </c>
      <c r="E12" s="138">
        <f>F71</f>
        <v>0</v>
      </c>
      <c r="F12" s="125"/>
      <c r="G12" s="125"/>
      <c r="H12" s="125"/>
      <c r="I12" s="125"/>
      <c r="J12" s="125"/>
      <c r="K12" s="125"/>
      <c r="L12" s="125"/>
      <c r="M12" s="125"/>
      <c r="N12" s="125"/>
      <c r="O12" s="125"/>
      <c r="P12" s="125"/>
      <c r="W12">
        <f>(475409.8+224+267)*2204.62/8707340462.38</f>
        <v>0.12049378638965323</v>
      </c>
      <c r="X12" t="s">
        <v>124</v>
      </c>
    </row>
    <row r="13" spans="1:24" ht="14.25" customHeight="1">
      <c r="A13" s="134" t="s">
        <v>18</v>
      </c>
      <c r="B13" s="135" t="s">
        <v>204</v>
      </c>
      <c r="C13" s="135" t="s">
        <v>126</v>
      </c>
      <c r="D13" s="146">
        <f>B77</f>
        <v>55226.542179896533</v>
      </c>
      <c r="E13" s="147">
        <f>F77</f>
        <v>12608.799584451262</v>
      </c>
      <c r="F13" s="125"/>
      <c r="G13" s="125"/>
      <c r="H13" s="125"/>
      <c r="I13" s="125"/>
      <c r="J13" s="125"/>
      <c r="K13" s="125"/>
      <c r="L13" s="125"/>
      <c r="M13" s="125"/>
      <c r="N13" s="125"/>
      <c r="O13" s="125"/>
      <c r="P13" s="125"/>
    </row>
    <row r="14" spans="1:24" ht="14.25" customHeight="1">
      <c r="A14" s="148" t="s">
        <v>37</v>
      </c>
      <c r="B14" s="149">
        <v>0</v>
      </c>
      <c r="C14" s="150">
        <v>0</v>
      </c>
      <c r="D14" s="151">
        <v>0</v>
      </c>
      <c r="E14" s="152">
        <v>0</v>
      </c>
      <c r="F14" s="125"/>
      <c r="G14" s="125"/>
      <c r="H14" s="125"/>
      <c r="I14" s="125"/>
      <c r="J14" s="125"/>
      <c r="K14" s="125"/>
      <c r="L14" s="125"/>
      <c r="M14" s="125"/>
      <c r="N14" s="125"/>
      <c r="O14" s="125"/>
      <c r="P14" s="125"/>
    </row>
    <row r="15" spans="1:24" ht="14.25" customHeight="1">
      <c r="A15" s="153"/>
      <c r="B15" s="153"/>
      <c r="C15" s="153"/>
      <c r="D15" s="153"/>
      <c r="E15" s="132"/>
      <c r="H15" s="125"/>
      <c r="I15" s="125"/>
      <c r="J15" s="125"/>
      <c r="K15" s="125"/>
      <c r="L15" s="125"/>
      <c r="M15" s="125"/>
      <c r="N15" s="125"/>
      <c r="O15" s="125"/>
      <c r="P15" s="125"/>
    </row>
    <row r="16" spans="1:24" ht="14.25" customHeight="1">
      <c r="A16" s="154" t="s">
        <v>205</v>
      </c>
      <c r="B16" s="155">
        <f>'San Juan'!E28</f>
        <v>0</v>
      </c>
      <c r="C16" s="155"/>
      <c r="D16" s="156" t="s">
        <v>83</v>
      </c>
      <c r="H16" s="125"/>
      <c r="I16" s="125"/>
      <c r="J16" s="125"/>
      <c r="K16" s="125"/>
      <c r="L16" s="125"/>
      <c r="M16" s="125"/>
      <c r="N16" s="125"/>
      <c r="O16" s="125"/>
      <c r="P16" s="125"/>
    </row>
    <row r="17" spans="1:21" ht="14.25" customHeight="1">
      <c r="A17" s="116" t="s">
        <v>128</v>
      </c>
      <c r="B17" s="157">
        <f>'San Juan'!O28</f>
        <v>916670375.03999996</v>
      </c>
      <c r="C17" s="157"/>
      <c r="D17" s="133" t="s">
        <v>129</v>
      </c>
      <c r="F17" s="125"/>
      <c r="G17" s="125"/>
      <c r="H17" s="125"/>
      <c r="I17" s="125"/>
      <c r="J17" s="125"/>
      <c r="K17" s="125"/>
      <c r="L17" s="125"/>
      <c r="M17" s="125"/>
      <c r="N17" s="125"/>
      <c r="O17" s="125"/>
      <c r="P17" s="125"/>
    </row>
    <row r="18" spans="1:21" ht="14.25" customHeight="1">
      <c r="A18" s="87" t="s">
        <v>206</v>
      </c>
      <c r="B18" s="158">
        <f>'San Juan'!G28</f>
        <v>6.9999999999999999E-4</v>
      </c>
      <c r="D18" t="s">
        <v>131</v>
      </c>
      <c r="M18" s="125"/>
      <c r="N18" s="125"/>
      <c r="O18" s="125"/>
      <c r="P18" s="125"/>
    </row>
    <row r="19" spans="1:21" ht="14.25" customHeight="1">
      <c r="A19" s="125"/>
      <c r="B19" s="125"/>
      <c r="C19" s="125"/>
      <c r="D19" s="125"/>
      <c r="E19" s="125"/>
      <c r="F19" s="125"/>
      <c r="G19" s="125"/>
      <c r="H19" s="125"/>
      <c r="I19" s="125"/>
      <c r="J19" s="125"/>
      <c r="K19" s="125"/>
      <c r="L19" s="125"/>
      <c r="M19" s="125"/>
      <c r="N19" s="125"/>
      <c r="O19" s="125"/>
      <c r="P19" s="125"/>
    </row>
    <row r="20" spans="1:21" ht="14.25" customHeight="1">
      <c r="A20" s="159" t="s">
        <v>132</v>
      </c>
      <c r="B20" s="160">
        <f>B16</f>
        <v>0</v>
      </c>
      <c r="C20" s="161"/>
      <c r="D20" s="162" t="s">
        <v>133</v>
      </c>
      <c r="E20" s="163">
        <v>0.13800000000000001</v>
      </c>
      <c r="F20" s="164" t="s">
        <v>134</v>
      </c>
      <c r="G20" s="576" t="s">
        <v>135</v>
      </c>
      <c r="H20" s="237">
        <f>C4</f>
        <v>0.108058493511864</v>
      </c>
      <c r="I20" s="166" t="s">
        <v>136</v>
      </c>
      <c r="J20" s="165">
        <v>1</v>
      </c>
      <c r="K20" s="165" t="s">
        <v>90</v>
      </c>
      <c r="L20" s="167" t="s">
        <v>137</v>
      </c>
      <c r="M20" s="168">
        <f>B17</f>
        <v>916670375.03999996</v>
      </c>
      <c r="N20" s="164" t="s">
        <v>138</v>
      </c>
      <c r="O20" s="160">
        <v>1020</v>
      </c>
      <c r="P20" s="162" t="s">
        <v>139</v>
      </c>
      <c r="Q20" s="576" t="s">
        <v>135</v>
      </c>
      <c r="R20" s="237">
        <f>B4</f>
        <v>9.2099392372881395E-2</v>
      </c>
      <c r="S20" s="166" t="s">
        <v>136</v>
      </c>
      <c r="T20" s="165">
        <v>1</v>
      </c>
      <c r="U20" s="165" t="s">
        <v>90</v>
      </c>
    </row>
    <row r="21" spans="1:21" ht="14.25" customHeight="1">
      <c r="A21" s="107"/>
      <c r="B21" s="113"/>
      <c r="C21" s="107"/>
      <c r="D21" s="169" t="s">
        <v>59</v>
      </c>
      <c r="E21" s="107"/>
      <c r="F21" s="170" t="s">
        <v>88</v>
      </c>
      <c r="G21" s="576"/>
      <c r="H21" s="125"/>
      <c r="I21" s="171" t="s">
        <v>140</v>
      </c>
      <c r="J21" s="172">
        <v>2000</v>
      </c>
      <c r="K21" s="125" t="s">
        <v>141</v>
      </c>
      <c r="L21" s="107"/>
      <c r="M21" s="107"/>
      <c r="N21" s="170" t="s">
        <v>59</v>
      </c>
      <c r="O21" s="173">
        <v>1000000</v>
      </c>
      <c r="P21" s="169" t="s">
        <v>68</v>
      </c>
      <c r="Q21" s="576"/>
      <c r="R21" s="125"/>
      <c r="S21" s="171" t="s">
        <v>140</v>
      </c>
      <c r="T21" s="172">
        <v>2000</v>
      </c>
      <c r="U21" s="125" t="s">
        <v>141</v>
      </c>
    </row>
    <row r="22" spans="1:21" ht="14.25" customHeight="1">
      <c r="A22" s="125"/>
      <c r="B22" s="125"/>
      <c r="C22" s="125"/>
      <c r="D22" s="125"/>
      <c r="E22" s="125"/>
      <c r="F22" s="125"/>
      <c r="G22" s="125"/>
      <c r="H22" s="125"/>
      <c r="I22" s="125"/>
      <c r="J22" s="125"/>
      <c r="K22" s="125"/>
      <c r="L22" s="125"/>
      <c r="M22" s="125"/>
      <c r="N22" s="125"/>
      <c r="O22" s="125"/>
      <c r="P22" s="125"/>
    </row>
    <row r="23" spans="1:21" ht="14.25" customHeight="1">
      <c r="A23" s="159"/>
      <c r="B23" s="174">
        <f>(B20*E20*H20+M20*O20*R20/1000000)/2000</f>
        <v>43.056640119176706</v>
      </c>
      <c r="C23" s="174"/>
      <c r="D23" s="125" t="s">
        <v>142</v>
      </c>
      <c r="E23" s="159" t="s">
        <v>86</v>
      </c>
      <c r="F23" s="132">
        <f>B23*(2000/8760)</f>
        <v>9.8302831322321236</v>
      </c>
      <c r="G23" s="125" t="s">
        <v>143</v>
      </c>
      <c r="H23" s="175"/>
      <c r="I23" s="125"/>
      <c r="J23" s="125"/>
      <c r="K23" s="125"/>
      <c r="L23" s="125"/>
      <c r="M23" s="125"/>
      <c r="N23" s="125"/>
      <c r="O23" s="125"/>
      <c r="P23" s="125"/>
    </row>
    <row r="24" spans="1:21" ht="14.25" customHeight="1">
      <c r="A24" s="125"/>
      <c r="B24" s="125"/>
      <c r="C24" s="125"/>
      <c r="D24" s="125"/>
      <c r="E24" s="125"/>
      <c r="F24" s="125"/>
      <c r="G24" s="125"/>
      <c r="H24" s="176"/>
      <c r="I24" s="176"/>
      <c r="J24" s="176"/>
      <c r="K24" s="125"/>
      <c r="L24" s="125"/>
      <c r="M24" s="125"/>
      <c r="N24" s="125"/>
      <c r="O24" s="125"/>
      <c r="P24" s="125"/>
    </row>
    <row r="25" spans="1:21" ht="14.25" customHeight="1">
      <c r="A25" s="125"/>
      <c r="B25" s="125"/>
      <c r="C25" s="125"/>
      <c r="D25" s="125"/>
      <c r="E25" s="125"/>
      <c r="F25" s="125"/>
      <c r="G25" s="125"/>
      <c r="H25" s="125"/>
      <c r="I25" s="125"/>
      <c r="J25" s="125"/>
      <c r="K25" s="125"/>
      <c r="L25" s="125"/>
      <c r="M25" s="125"/>
      <c r="N25" s="125"/>
      <c r="O25" s="125"/>
      <c r="P25" s="125"/>
    </row>
    <row r="26" spans="1:21" ht="14.25" customHeight="1">
      <c r="A26" s="159" t="s">
        <v>144</v>
      </c>
      <c r="B26" s="160">
        <f>B16</f>
        <v>0</v>
      </c>
      <c r="C26" s="161"/>
      <c r="D26" s="162" t="s">
        <v>133</v>
      </c>
      <c r="E26" s="163">
        <v>0.13800000000000001</v>
      </c>
      <c r="F26" s="164" t="s">
        <v>134</v>
      </c>
      <c r="G26" s="576" t="s">
        <v>135</v>
      </c>
      <c r="H26" s="237">
        <f>C5</f>
        <v>9.4426363060370194E-3</v>
      </c>
      <c r="I26" s="166" t="s">
        <v>136</v>
      </c>
      <c r="J26" s="165">
        <v>1</v>
      </c>
      <c r="K26" s="165" t="s">
        <v>90</v>
      </c>
      <c r="L26" s="167" t="s">
        <v>137</v>
      </c>
      <c r="M26" s="168">
        <f>B17</f>
        <v>916670375.03999996</v>
      </c>
      <c r="N26" s="162" t="s">
        <v>138</v>
      </c>
      <c r="O26" s="161">
        <v>1020</v>
      </c>
      <c r="P26" s="162" t="s">
        <v>139</v>
      </c>
      <c r="Q26" s="113" t="s">
        <v>135</v>
      </c>
      <c r="R26" s="237">
        <f>B5</f>
        <v>2.2429676537803301E-2</v>
      </c>
      <c r="S26" s="166" t="s">
        <v>136</v>
      </c>
      <c r="T26" s="177">
        <v>1</v>
      </c>
      <c r="U26" s="165" t="s">
        <v>90</v>
      </c>
    </row>
    <row r="27" spans="1:21" ht="14.25" customHeight="1">
      <c r="A27" s="107"/>
      <c r="B27" s="113"/>
      <c r="C27" s="107"/>
      <c r="D27" s="169" t="s">
        <v>59</v>
      </c>
      <c r="E27" s="107"/>
      <c r="F27" s="178" t="s">
        <v>88</v>
      </c>
      <c r="G27" s="576"/>
      <c r="H27" s="125"/>
      <c r="I27" s="171" t="s">
        <v>140</v>
      </c>
      <c r="J27" s="172">
        <v>2000</v>
      </c>
      <c r="K27" s="125" t="s">
        <v>141</v>
      </c>
      <c r="L27" s="107"/>
      <c r="M27" s="107"/>
      <c r="N27" s="169" t="s">
        <v>59</v>
      </c>
      <c r="O27" s="179">
        <v>1000000</v>
      </c>
      <c r="P27" s="169" t="s">
        <v>68</v>
      </c>
      <c r="Q27" s="113"/>
      <c r="R27" s="125"/>
      <c r="S27" s="171" t="s">
        <v>140</v>
      </c>
      <c r="T27" s="180">
        <v>2000</v>
      </c>
      <c r="U27" s="125" t="s">
        <v>141</v>
      </c>
    </row>
    <row r="28" spans="1:21" ht="14.25" customHeight="1">
      <c r="A28" s="125"/>
      <c r="B28" s="125"/>
      <c r="C28" s="125"/>
      <c r="D28" s="125"/>
      <c r="E28" s="125"/>
      <c r="F28" s="125"/>
      <c r="G28" s="125"/>
      <c r="H28" s="125"/>
      <c r="I28" s="125"/>
      <c r="J28" s="125"/>
      <c r="K28" s="125"/>
      <c r="L28" s="125"/>
      <c r="M28" s="125"/>
      <c r="N28" s="125"/>
      <c r="O28" s="125"/>
      <c r="P28" s="125"/>
    </row>
    <row r="29" spans="1:21" ht="14.25" customHeight="1">
      <c r="A29" s="159"/>
      <c r="B29" s="174">
        <f>(B26*E26*H26+M26*O26*R26/1000000)/2000</f>
        <v>10.48591620200636</v>
      </c>
      <c r="C29" s="174"/>
      <c r="D29" s="125" t="s">
        <v>142</v>
      </c>
      <c r="E29" s="159" t="s">
        <v>86</v>
      </c>
      <c r="F29" s="132">
        <f>B29*(2000/8760)</f>
        <v>2.3940447949786208</v>
      </c>
      <c r="G29" s="125" t="s">
        <v>143</v>
      </c>
      <c r="I29" s="125"/>
      <c r="J29" s="125"/>
      <c r="K29" s="125"/>
      <c r="L29" s="125"/>
      <c r="M29" s="125"/>
      <c r="N29" s="125"/>
      <c r="O29" s="125"/>
      <c r="P29" s="125"/>
    </row>
    <row r="30" spans="1:21" ht="14.25" customHeight="1">
      <c r="A30" s="125"/>
      <c r="B30" s="125"/>
      <c r="C30" s="125"/>
      <c r="D30" s="125"/>
      <c r="E30" s="125"/>
      <c r="F30" s="125"/>
      <c r="G30" s="125"/>
      <c r="H30" s="125"/>
      <c r="I30" s="125"/>
      <c r="J30" s="125"/>
      <c r="K30" s="125"/>
      <c r="L30" s="125"/>
      <c r="M30" s="125"/>
      <c r="N30" s="125"/>
      <c r="O30" s="125"/>
      <c r="P30" s="125"/>
    </row>
    <row r="31" spans="1:21" ht="14.25" customHeight="1">
      <c r="A31" s="125"/>
      <c r="B31" s="125"/>
      <c r="C31" s="125"/>
      <c r="D31" s="125"/>
      <c r="E31" s="125"/>
      <c r="F31" s="125"/>
      <c r="G31" s="125"/>
      <c r="H31" s="125"/>
      <c r="I31" s="125"/>
      <c r="J31" s="125"/>
      <c r="K31" s="125"/>
      <c r="L31" s="125"/>
      <c r="M31" s="125"/>
      <c r="N31" s="125"/>
      <c r="O31" s="125"/>
      <c r="P31" s="125"/>
    </row>
    <row r="32" spans="1:21" ht="14.25" customHeight="1">
      <c r="A32" s="159" t="s">
        <v>145</v>
      </c>
      <c r="B32" s="160">
        <f>B16</f>
        <v>0</v>
      </c>
      <c r="C32" s="161"/>
      <c r="D32" s="162" t="s">
        <v>133</v>
      </c>
      <c r="E32" s="163">
        <v>0.13800000000000001</v>
      </c>
      <c r="F32" s="164" t="s">
        <v>134</v>
      </c>
      <c r="G32" s="576" t="s">
        <v>135</v>
      </c>
      <c r="H32" s="165">
        <f>C6</f>
        <v>8.3000000000000001E-3</v>
      </c>
      <c r="I32" s="166" t="s">
        <v>136</v>
      </c>
      <c r="J32" s="165">
        <v>1</v>
      </c>
      <c r="K32" s="165" t="s">
        <v>90</v>
      </c>
      <c r="L32" s="167" t="s">
        <v>137</v>
      </c>
      <c r="M32" s="168">
        <f>B17</f>
        <v>916670375.03999996</v>
      </c>
      <c r="N32" s="162" t="s">
        <v>138</v>
      </c>
      <c r="O32" s="161">
        <v>1020</v>
      </c>
      <c r="P32" s="162" t="s">
        <v>139</v>
      </c>
      <c r="Q32" s="113" t="s">
        <v>135</v>
      </c>
      <c r="R32" s="165">
        <f>B6</f>
        <v>2.0999999999999999E-3</v>
      </c>
      <c r="S32" s="166" t="s">
        <v>136</v>
      </c>
      <c r="T32" s="165">
        <v>1</v>
      </c>
      <c r="U32" s="165" t="s">
        <v>90</v>
      </c>
    </row>
    <row r="33" spans="1:21" ht="14.25" customHeight="1">
      <c r="A33" s="107"/>
      <c r="B33" s="113"/>
      <c r="C33" s="107"/>
      <c r="D33" s="169" t="s">
        <v>59</v>
      </c>
      <c r="E33" s="107"/>
      <c r="F33" s="170" t="s">
        <v>88</v>
      </c>
      <c r="G33" s="576"/>
      <c r="H33" s="125"/>
      <c r="I33" s="171" t="s">
        <v>140</v>
      </c>
      <c r="J33" s="172">
        <v>2000</v>
      </c>
      <c r="K33" s="125" t="s">
        <v>141</v>
      </c>
      <c r="L33" s="107"/>
      <c r="M33" s="107"/>
      <c r="N33" s="169" t="s">
        <v>59</v>
      </c>
      <c r="O33" s="179">
        <v>1000000</v>
      </c>
      <c r="P33" s="169" t="s">
        <v>68</v>
      </c>
      <c r="Q33" s="113"/>
      <c r="R33" s="125"/>
      <c r="S33" s="171" t="s">
        <v>140</v>
      </c>
      <c r="T33" s="172">
        <v>2000</v>
      </c>
      <c r="U33" s="125" t="s">
        <v>141</v>
      </c>
    </row>
    <row r="34" spans="1:21" ht="14.25" customHeight="1">
      <c r="A34" s="125"/>
      <c r="B34" s="125"/>
      <c r="C34" s="125"/>
      <c r="D34" s="125"/>
      <c r="E34" s="125"/>
      <c r="F34" s="125"/>
      <c r="G34" s="125"/>
      <c r="H34" s="125"/>
      <c r="I34" s="125"/>
      <c r="J34" s="125"/>
      <c r="K34" s="125"/>
      <c r="L34" s="125"/>
      <c r="M34" s="125"/>
      <c r="N34" s="125"/>
      <c r="O34" s="125"/>
      <c r="P34" s="125"/>
    </row>
    <row r="35" spans="1:21" ht="14.25" customHeight="1">
      <c r="A35" s="159"/>
      <c r="B35" s="174">
        <f>(B32*E32*H32+M32*O32*R32/1000000)/2000</f>
        <v>0.98175397166783984</v>
      </c>
      <c r="C35" s="174"/>
      <c r="D35" s="125" t="s">
        <v>142</v>
      </c>
      <c r="E35" s="159" t="s">
        <v>86</v>
      </c>
      <c r="F35" s="132">
        <f>B35*(2000/8760)</f>
        <v>0.22414474238991777</v>
      </c>
      <c r="G35" s="125" t="s">
        <v>143</v>
      </c>
      <c r="I35" s="125"/>
      <c r="J35" s="125"/>
      <c r="K35" s="125"/>
      <c r="L35" s="125"/>
      <c r="M35" s="125"/>
      <c r="N35" s="125"/>
      <c r="O35" s="125"/>
      <c r="P35" s="125"/>
    </row>
    <row r="36" spans="1:21" ht="14.25" customHeight="1">
      <c r="A36" s="125"/>
      <c r="B36" s="125"/>
      <c r="C36" s="125"/>
      <c r="D36" s="125"/>
      <c r="E36" s="125"/>
      <c r="F36" s="125"/>
      <c r="G36" s="125"/>
      <c r="H36" s="125"/>
      <c r="I36" s="125"/>
      <c r="J36" s="125"/>
      <c r="K36" s="125"/>
      <c r="L36" s="125"/>
      <c r="M36" s="125"/>
      <c r="N36" s="125"/>
      <c r="O36" s="125"/>
      <c r="P36" s="125"/>
    </row>
    <row r="37" spans="1:21" ht="14.25" customHeight="1">
      <c r="A37" s="125"/>
      <c r="B37" s="125"/>
      <c r="C37" s="125"/>
      <c r="D37" s="125"/>
      <c r="E37" s="125"/>
      <c r="F37" s="125"/>
      <c r="G37" s="125"/>
      <c r="H37" s="125"/>
      <c r="I37" s="125"/>
      <c r="J37" s="125"/>
      <c r="K37" s="125"/>
      <c r="L37" s="125"/>
      <c r="M37" s="125"/>
      <c r="N37" s="125"/>
      <c r="O37" s="125"/>
      <c r="P37" s="125"/>
    </row>
    <row r="38" spans="1:21" ht="14.25" customHeight="1">
      <c r="A38" s="159" t="s">
        <v>146</v>
      </c>
      <c r="B38" s="160">
        <f>B16</f>
        <v>0</v>
      </c>
      <c r="C38" s="161"/>
      <c r="D38" s="162" t="s">
        <v>133</v>
      </c>
      <c r="E38" s="163">
        <v>0.13800000000000001</v>
      </c>
      <c r="F38" s="164" t="s">
        <v>134</v>
      </c>
      <c r="G38" s="576" t="s">
        <v>135</v>
      </c>
      <c r="H38" s="165">
        <f>C7</f>
        <v>2.8400000000000002E-2</v>
      </c>
      <c r="I38" s="166" t="s">
        <v>136</v>
      </c>
      <c r="J38" s="165">
        <v>1</v>
      </c>
      <c r="K38" s="165" t="s">
        <v>90</v>
      </c>
      <c r="L38" s="167" t="s">
        <v>137</v>
      </c>
      <c r="M38" s="168">
        <f>B17</f>
        <v>916670375.03999996</v>
      </c>
      <c r="N38" s="162" t="s">
        <v>138</v>
      </c>
      <c r="O38" s="161">
        <v>1020</v>
      </c>
      <c r="P38" s="162" t="s">
        <v>139</v>
      </c>
      <c r="Q38" s="113" t="s">
        <v>135</v>
      </c>
      <c r="R38" s="165">
        <f>B7</f>
        <v>6.6E-3</v>
      </c>
      <c r="S38" s="166" t="s">
        <v>136</v>
      </c>
      <c r="T38" s="165">
        <v>1</v>
      </c>
      <c r="U38" s="165" t="s">
        <v>90</v>
      </c>
    </row>
    <row r="39" spans="1:21" ht="14.25" customHeight="1">
      <c r="A39" s="107"/>
      <c r="B39" s="113"/>
      <c r="C39" s="107"/>
      <c r="D39" s="169" t="s">
        <v>59</v>
      </c>
      <c r="E39" s="107"/>
      <c r="F39" s="170" t="s">
        <v>88</v>
      </c>
      <c r="G39" s="576"/>
      <c r="H39" s="125"/>
      <c r="I39" s="171" t="s">
        <v>140</v>
      </c>
      <c r="J39" s="172">
        <v>2000</v>
      </c>
      <c r="K39" s="125" t="s">
        <v>141</v>
      </c>
      <c r="L39" s="107"/>
      <c r="M39" s="107"/>
      <c r="N39" s="169" t="s">
        <v>59</v>
      </c>
      <c r="O39" s="179">
        <v>1000000</v>
      </c>
      <c r="P39" s="169" t="s">
        <v>68</v>
      </c>
      <c r="Q39" s="113"/>
      <c r="R39" s="125"/>
      <c r="S39" s="171" t="s">
        <v>140</v>
      </c>
      <c r="T39" s="172">
        <v>2000</v>
      </c>
      <c r="U39" s="125" t="s">
        <v>141</v>
      </c>
    </row>
    <row r="40" spans="1:21" ht="14.25" customHeight="1">
      <c r="A40" s="125"/>
      <c r="B40" s="125"/>
      <c r="C40" s="125"/>
      <c r="D40" s="125"/>
      <c r="E40" s="125"/>
      <c r="F40" s="125"/>
      <c r="L40" s="125"/>
      <c r="M40" s="125"/>
      <c r="N40" s="125"/>
      <c r="O40" s="125"/>
      <c r="P40" s="125"/>
      <c r="Q40" s="125"/>
      <c r="R40" s="125"/>
      <c r="S40" s="125"/>
      <c r="T40" s="125"/>
      <c r="U40" s="125"/>
    </row>
    <row r="41" spans="1:21" ht="14.25" customHeight="1">
      <c r="A41" s="159"/>
      <c r="B41" s="174">
        <f>(B38*E38*H38+M38*O38*R38/1000000)/2000</f>
        <v>3.0855124823846398</v>
      </c>
      <c r="C41" s="174"/>
      <c r="D41" s="125" t="s">
        <v>142</v>
      </c>
      <c r="E41" s="159" t="s">
        <v>86</v>
      </c>
      <c r="F41" s="132">
        <f>B41*(2000/8760)</f>
        <v>0.70445490465402727</v>
      </c>
      <c r="G41" s="125" t="s">
        <v>143</v>
      </c>
      <c r="L41" s="125" t="s">
        <v>143</v>
      </c>
      <c r="N41" s="125"/>
      <c r="O41" s="125"/>
      <c r="P41" s="125"/>
      <c r="Q41" s="125"/>
      <c r="R41" s="125"/>
      <c r="S41" s="125"/>
      <c r="T41" s="125"/>
      <c r="U41" s="125"/>
    </row>
    <row r="42" spans="1:21" ht="14.25" customHeight="1">
      <c r="A42" s="159"/>
      <c r="B42" s="174"/>
      <c r="C42" s="174"/>
      <c r="D42" s="125"/>
      <c r="E42" s="159"/>
      <c r="F42" s="132"/>
      <c r="L42" s="125"/>
      <c r="N42" s="125"/>
      <c r="O42" s="125"/>
      <c r="P42" s="125"/>
      <c r="Q42" s="125"/>
      <c r="R42" s="125"/>
      <c r="S42" s="125"/>
      <c r="T42" s="125"/>
      <c r="U42" s="125"/>
    </row>
    <row r="43" spans="1:21" ht="14.25" customHeight="1">
      <c r="A43" s="159"/>
      <c r="B43" s="174"/>
      <c r="C43" s="174"/>
      <c r="D43" s="125"/>
      <c r="E43" s="159"/>
      <c r="F43" s="132"/>
      <c r="L43" s="125"/>
      <c r="N43" s="125"/>
      <c r="O43" s="125"/>
      <c r="P43" s="125"/>
      <c r="Q43" s="125"/>
      <c r="R43" s="125"/>
      <c r="S43" s="125"/>
      <c r="T43" s="125"/>
      <c r="U43" s="125"/>
    </row>
    <row r="44" spans="1:21" ht="14.25" customHeight="1">
      <c r="A44" s="159" t="s">
        <v>147</v>
      </c>
      <c r="B44" s="160">
        <f>B16</f>
        <v>0</v>
      </c>
      <c r="C44" s="161"/>
      <c r="D44" s="162" t="s">
        <v>133</v>
      </c>
      <c r="E44" s="163">
        <v>0.13800000000000001</v>
      </c>
      <c r="F44" s="164" t="s">
        <v>134</v>
      </c>
      <c r="G44" s="576" t="s">
        <v>135</v>
      </c>
      <c r="H44" s="165">
        <f>C8</f>
        <v>3.5700000000000003E-2</v>
      </c>
      <c r="I44" s="166" t="s">
        <v>136</v>
      </c>
      <c r="J44" s="165">
        <v>1</v>
      </c>
      <c r="K44" s="165" t="s">
        <v>90</v>
      </c>
      <c r="L44" s="167" t="s">
        <v>137</v>
      </c>
      <c r="M44" s="168">
        <f>B17</f>
        <v>916670375.03999996</v>
      </c>
      <c r="N44" s="162" t="s">
        <v>138</v>
      </c>
      <c r="O44" s="161">
        <v>1020</v>
      </c>
      <c r="P44" s="162" t="s">
        <v>139</v>
      </c>
      <c r="Q44" s="113" t="s">
        <v>135</v>
      </c>
      <c r="R44" s="165">
        <f>B8</f>
        <v>6.6E-3</v>
      </c>
      <c r="S44" s="166" t="s">
        <v>136</v>
      </c>
      <c r="T44" s="165">
        <v>1</v>
      </c>
      <c r="U44" s="165" t="s">
        <v>90</v>
      </c>
    </row>
    <row r="45" spans="1:21" ht="14.25" customHeight="1">
      <c r="A45" s="107"/>
      <c r="B45" s="113"/>
      <c r="C45" s="107"/>
      <c r="D45" s="169" t="s">
        <v>59</v>
      </c>
      <c r="E45" s="107"/>
      <c r="F45" s="170" t="s">
        <v>88</v>
      </c>
      <c r="G45" s="576"/>
      <c r="H45" s="125"/>
      <c r="I45" s="171" t="s">
        <v>140</v>
      </c>
      <c r="J45" s="172">
        <v>2000</v>
      </c>
      <c r="K45" s="125" t="s">
        <v>141</v>
      </c>
      <c r="L45" s="107"/>
      <c r="M45" s="107"/>
      <c r="N45" s="169" t="s">
        <v>59</v>
      </c>
      <c r="O45" s="179">
        <v>1000000</v>
      </c>
      <c r="P45" s="169" t="s">
        <v>68</v>
      </c>
      <c r="Q45" s="113"/>
      <c r="R45" s="125"/>
      <c r="S45" s="171" t="s">
        <v>140</v>
      </c>
      <c r="T45" s="172">
        <v>2000</v>
      </c>
      <c r="U45" s="125" t="s">
        <v>141</v>
      </c>
    </row>
    <row r="46" spans="1:21" ht="14.25" customHeight="1">
      <c r="A46" s="125"/>
      <c r="B46" s="125"/>
      <c r="C46" s="125"/>
      <c r="D46" s="125"/>
      <c r="E46" s="125"/>
      <c r="F46" s="125"/>
      <c r="L46" s="125"/>
      <c r="M46" s="125"/>
      <c r="N46" s="125"/>
      <c r="O46" s="125"/>
      <c r="P46" s="125"/>
      <c r="Q46" s="125"/>
      <c r="R46" s="125"/>
      <c r="S46" s="125"/>
      <c r="T46" s="125"/>
      <c r="U46" s="125"/>
    </row>
    <row r="47" spans="1:21" ht="14.25" customHeight="1">
      <c r="A47" s="159"/>
      <c r="B47" s="174">
        <f>(B44*E44*H44+M44*O44*R44/1000000)/2000</f>
        <v>3.0855124823846398</v>
      </c>
      <c r="C47" s="174"/>
      <c r="D47" s="125" t="s">
        <v>142</v>
      </c>
      <c r="E47" s="159" t="s">
        <v>86</v>
      </c>
      <c r="F47" s="132">
        <f>B47*(2000/8760)</f>
        <v>0.70445490465402727</v>
      </c>
      <c r="G47" s="125" t="s">
        <v>143</v>
      </c>
      <c r="L47" s="125" t="s">
        <v>143</v>
      </c>
      <c r="N47" s="125"/>
      <c r="O47" s="125"/>
      <c r="P47" s="125"/>
      <c r="Q47" s="125"/>
      <c r="R47" s="125"/>
      <c r="S47" s="125"/>
      <c r="T47" s="125"/>
      <c r="U47" s="125"/>
    </row>
    <row r="48" spans="1:21" ht="14.25" customHeight="1">
      <c r="A48" s="125"/>
      <c r="B48" s="125"/>
      <c r="C48" s="125"/>
      <c r="D48" s="125"/>
      <c r="E48" s="125"/>
      <c r="F48" s="125"/>
      <c r="L48" s="125"/>
      <c r="M48" s="125"/>
      <c r="N48" s="125"/>
      <c r="O48" s="125"/>
      <c r="P48" s="125"/>
      <c r="Q48" s="125"/>
      <c r="R48" s="125"/>
      <c r="S48" s="125"/>
      <c r="T48" s="125"/>
      <c r="U48" s="125"/>
    </row>
    <row r="49" spans="1:21" ht="14.25" customHeight="1">
      <c r="A49" s="125"/>
      <c r="B49" s="125"/>
      <c r="C49" s="125"/>
      <c r="D49" s="125"/>
      <c r="E49" s="125"/>
      <c r="F49" s="125"/>
      <c r="L49" s="125"/>
      <c r="M49" s="125"/>
      <c r="N49" s="125"/>
      <c r="O49" s="125"/>
      <c r="P49" s="125"/>
      <c r="Q49" s="125"/>
      <c r="R49" s="125"/>
      <c r="S49" s="125"/>
      <c r="T49" s="125"/>
      <c r="U49" s="125"/>
    </row>
    <row r="50" spans="1:21" ht="14.25" customHeight="1">
      <c r="A50" s="159" t="s">
        <v>148</v>
      </c>
      <c r="B50" s="160">
        <f>B16</f>
        <v>0</v>
      </c>
      <c r="C50" s="161"/>
      <c r="D50" s="162" t="s">
        <v>133</v>
      </c>
      <c r="E50" s="163">
        <v>0.13800000000000001</v>
      </c>
      <c r="F50" s="164" t="s">
        <v>134</v>
      </c>
      <c r="G50" s="576" t="s">
        <v>135</v>
      </c>
      <c r="H50" s="165">
        <f>C9</f>
        <v>3.5700000000000003E-2</v>
      </c>
      <c r="I50" s="166" t="s">
        <v>136</v>
      </c>
      <c r="J50" s="165">
        <v>1</v>
      </c>
      <c r="K50" s="165" t="s">
        <v>90</v>
      </c>
      <c r="L50" s="167" t="s">
        <v>137</v>
      </c>
      <c r="M50" s="168">
        <f>B17</f>
        <v>916670375.03999996</v>
      </c>
      <c r="N50" s="162" t="s">
        <v>138</v>
      </c>
      <c r="O50" s="161">
        <v>1020</v>
      </c>
      <c r="P50" s="162" t="s">
        <v>139</v>
      </c>
      <c r="Q50" s="113" t="s">
        <v>135</v>
      </c>
      <c r="R50" s="165">
        <f>B9</f>
        <v>6.6E-3</v>
      </c>
      <c r="S50" s="166" t="s">
        <v>136</v>
      </c>
      <c r="T50" s="165">
        <v>1</v>
      </c>
      <c r="U50" s="165" t="s">
        <v>90</v>
      </c>
    </row>
    <row r="51" spans="1:21" ht="14.25" customHeight="1">
      <c r="A51" s="107"/>
      <c r="B51" s="113"/>
      <c r="C51" s="107"/>
      <c r="D51" s="169" t="s">
        <v>59</v>
      </c>
      <c r="E51" s="107"/>
      <c r="F51" s="170" t="s">
        <v>88</v>
      </c>
      <c r="G51" s="576"/>
      <c r="H51" s="125"/>
      <c r="I51" s="171" t="s">
        <v>140</v>
      </c>
      <c r="J51" s="172">
        <v>2000</v>
      </c>
      <c r="K51" s="125" t="s">
        <v>141</v>
      </c>
      <c r="L51" s="107"/>
      <c r="M51" s="107"/>
      <c r="N51" s="169" t="s">
        <v>59</v>
      </c>
      <c r="O51" s="179">
        <v>1000000</v>
      </c>
      <c r="P51" s="169" t="s">
        <v>68</v>
      </c>
      <c r="Q51" s="113"/>
      <c r="R51" s="125"/>
      <c r="S51" s="171" t="s">
        <v>140</v>
      </c>
      <c r="T51" s="172">
        <v>2000</v>
      </c>
      <c r="U51" s="125" t="s">
        <v>141</v>
      </c>
    </row>
    <row r="52" spans="1:21" ht="14.25" customHeight="1">
      <c r="A52" s="125"/>
      <c r="B52" s="125"/>
      <c r="C52" s="125"/>
      <c r="D52" s="125"/>
      <c r="E52" s="125"/>
      <c r="F52" s="125"/>
      <c r="L52" s="125"/>
      <c r="M52" s="125"/>
      <c r="N52" s="125"/>
      <c r="O52" s="125"/>
      <c r="P52" s="125"/>
      <c r="Q52" s="125"/>
      <c r="R52" s="125"/>
      <c r="S52" s="125"/>
      <c r="T52" s="125"/>
      <c r="U52" s="125"/>
    </row>
    <row r="53" spans="1:21" ht="14.25" customHeight="1">
      <c r="A53" s="159"/>
      <c r="B53" s="174">
        <f>(B50*E50*H50+M50*O50*R50/1000000)/2000</f>
        <v>3.0855124823846398</v>
      </c>
      <c r="C53" s="174"/>
      <c r="D53" s="125" t="s">
        <v>142</v>
      </c>
      <c r="E53" s="159" t="s">
        <v>86</v>
      </c>
      <c r="F53" s="132">
        <f>B53*(2000/8760)</f>
        <v>0.70445490465402727</v>
      </c>
      <c r="G53" s="125" t="s">
        <v>143</v>
      </c>
      <c r="L53" s="125" t="s">
        <v>143</v>
      </c>
      <c r="N53" s="125"/>
      <c r="O53" s="125"/>
      <c r="P53" s="125"/>
      <c r="Q53" s="125"/>
      <c r="R53" s="125"/>
      <c r="S53" s="125"/>
      <c r="T53" s="125"/>
      <c r="U53" s="125"/>
    </row>
    <row r="54" spans="1:21" ht="14.25" customHeight="1">
      <c r="A54" s="125"/>
      <c r="B54" s="125"/>
      <c r="C54" s="125"/>
      <c r="D54" s="125"/>
      <c r="E54" s="125"/>
      <c r="F54" s="125"/>
      <c r="L54" s="125"/>
      <c r="M54" s="125"/>
      <c r="N54" s="125"/>
      <c r="O54" s="125"/>
      <c r="P54" s="125"/>
      <c r="Q54" s="125"/>
      <c r="R54" s="125"/>
      <c r="S54" s="125"/>
      <c r="T54" s="125"/>
      <c r="U54" s="125"/>
    </row>
    <row r="55" spans="1:21" ht="14.25" customHeight="1">
      <c r="A55" s="125"/>
      <c r="B55" s="125"/>
      <c r="C55" s="125"/>
      <c r="D55" s="125"/>
      <c r="E55" s="125"/>
      <c r="F55" s="125"/>
      <c r="L55" s="125"/>
      <c r="M55" s="125"/>
      <c r="N55" s="125"/>
      <c r="O55" s="125"/>
      <c r="P55" s="125"/>
      <c r="Q55" s="125"/>
      <c r="R55" s="125"/>
      <c r="S55" s="125"/>
      <c r="T55" s="125"/>
      <c r="U55" s="125"/>
    </row>
    <row r="56" spans="1:21" ht="14.25" customHeight="1">
      <c r="A56" s="159" t="s">
        <v>149</v>
      </c>
      <c r="B56" s="160">
        <f>B16</f>
        <v>0</v>
      </c>
      <c r="C56" s="161"/>
      <c r="D56" s="162" t="s">
        <v>133</v>
      </c>
      <c r="E56" s="163">
        <v>0.13800000000000001</v>
      </c>
      <c r="F56" s="164" t="s">
        <v>134</v>
      </c>
      <c r="G56" s="576" t="s">
        <v>135</v>
      </c>
      <c r="H56" s="165">
        <f>1.01*B18</f>
        <v>7.0699999999999995E-4</v>
      </c>
      <c r="I56" s="166" t="s">
        <v>136</v>
      </c>
      <c r="J56" s="165">
        <v>1</v>
      </c>
      <c r="K56" s="165" t="s">
        <v>90</v>
      </c>
      <c r="L56" s="167" t="s">
        <v>137</v>
      </c>
      <c r="M56" s="168">
        <f>B17</f>
        <v>916670375.03999996</v>
      </c>
      <c r="N56" s="162" t="s">
        <v>138</v>
      </c>
      <c r="O56" s="161">
        <v>1020</v>
      </c>
      <c r="P56" s="162" t="s">
        <v>139</v>
      </c>
      <c r="Q56" s="113" t="s">
        <v>135</v>
      </c>
      <c r="R56" s="165">
        <f>B10</f>
        <v>2.8E-3</v>
      </c>
      <c r="S56" s="166" t="s">
        <v>136</v>
      </c>
      <c r="T56" s="165">
        <v>1</v>
      </c>
      <c r="U56" s="165" t="s">
        <v>90</v>
      </c>
    </row>
    <row r="57" spans="1:21" ht="14.25" customHeight="1">
      <c r="A57" s="107"/>
      <c r="B57" s="113"/>
      <c r="C57" s="107"/>
      <c r="D57" s="169" t="s">
        <v>59</v>
      </c>
      <c r="E57" s="107"/>
      <c r="F57" s="170" t="s">
        <v>88</v>
      </c>
      <c r="G57" s="576"/>
      <c r="H57" s="125"/>
      <c r="I57" s="171" t="s">
        <v>140</v>
      </c>
      <c r="J57" s="172">
        <v>2000</v>
      </c>
      <c r="K57" s="125" t="s">
        <v>141</v>
      </c>
      <c r="L57" s="107"/>
      <c r="M57" s="107"/>
      <c r="N57" s="169" t="s">
        <v>59</v>
      </c>
      <c r="O57" s="179">
        <v>1000000</v>
      </c>
      <c r="P57" s="169" t="s">
        <v>68</v>
      </c>
      <c r="Q57" s="113"/>
      <c r="R57" s="125"/>
      <c r="S57" s="171" t="s">
        <v>140</v>
      </c>
      <c r="T57" s="172">
        <v>2000</v>
      </c>
      <c r="U57" s="125" t="s">
        <v>141</v>
      </c>
    </row>
    <row r="58" spans="1:21" ht="14.25" customHeight="1">
      <c r="A58" s="125"/>
      <c r="B58" s="125"/>
      <c r="C58" s="125"/>
      <c r="D58" s="125"/>
      <c r="E58" s="125"/>
      <c r="F58" s="125"/>
      <c r="L58" s="125"/>
      <c r="M58" s="125"/>
      <c r="N58" s="125"/>
      <c r="O58" s="125"/>
      <c r="P58" s="125"/>
      <c r="Q58" s="125"/>
      <c r="R58" s="125"/>
      <c r="S58" s="125"/>
      <c r="T58" s="125"/>
      <c r="U58" s="125"/>
    </row>
    <row r="59" spans="1:21" ht="14.25" customHeight="1">
      <c r="A59" s="159"/>
      <c r="B59" s="174">
        <f>(B56*E56*H56+M56*O56*R56/1000000)/2000</f>
        <v>1.3090052955571199</v>
      </c>
      <c r="C59" s="174"/>
      <c r="D59" s="125" t="s">
        <v>142</v>
      </c>
      <c r="E59" s="159" t="s">
        <v>86</v>
      </c>
      <c r="F59" s="132">
        <f>B59*(2000/8760)</f>
        <v>0.29885965651989038</v>
      </c>
      <c r="G59" s="125" t="s">
        <v>143</v>
      </c>
      <c r="L59" s="125" t="s">
        <v>143</v>
      </c>
      <c r="N59" s="125"/>
      <c r="O59" s="125"/>
      <c r="P59" s="125"/>
      <c r="Q59" s="125"/>
      <c r="R59" s="125"/>
      <c r="S59" s="125"/>
      <c r="T59" s="125"/>
      <c r="U59" s="125"/>
    </row>
    <row r="60" spans="1:21" ht="14.25" customHeight="1">
      <c r="A60" s="125"/>
      <c r="B60" s="125"/>
      <c r="C60" s="125"/>
      <c r="D60" s="125"/>
      <c r="E60" s="125"/>
      <c r="F60" s="125"/>
      <c r="L60" s="125"/>
      <c r="M60" s="125"/>
      <c r="N60" s="125"/>
      <c r="O60" s="125"/>
      <c r="P60" s="125"/>
      <c r="Q60" s="125"/>
      <c r="R60" s="125"/>
      <c r="S60" s="125"/>
      <c r="T60" s="125"/>
      <c r="U60" s="125"/>
    </row>
    <row r="61" spans="1:21" ht="14.25" customHeight="1">
      <c r="A61" s="125"/>
      <c r="B61" s="125"/>
      <c r="C61" s="125"/>
      <c r="D61" s="125"/>
      <c r="E61" s="125"/>
      <c r="F61" s="125"/>
      <c r="L61" s="125"/>
      <c r="M61" s="125"/>
      <c r="N61" s="125"/>
      <c r="O61" s="125"/>
      <c r="P61" s="125"/>
      <c r="Q61" s="125"/>
      <c r="R61" s="125"/>
      <c r="S61" s="125"/>
      <c r="T61" s="125"/>
      <c r="U61" s="125"/>
    </row>
    <row r="62" spans="1:21" ht="14.25" customHeight="1">
      <c r="A62" s="159" t="s">
        <v>151</v>
      </c>
      <c r="B62" s="160">
        <f>B16</f>
        <v>0</v>
      </c>
      <c r="C62" s="161"/>
      <c r="D62" s="162" t="s">
        <v>133</v>
      </c>
      <c r="E62" s="163">
        <v>0.13800000000000001</v>
      </c>
      <c r="F62" s="164" t="s">
        <v>134</v>
      </c>
      <c r="G62" s="576" t="s">
        <v>135</v>
      </c>
      <c r="H62" s="165">
        <f>C11</f>
        <v>7.7000000000000002E-3</v>
      </c>
      <c r="I62" s="166" t="s">
        <v>136</v>
      </c>
      <c r="J62" s="165">
        <v>1</v>
      </c>
      <c r="K62" s="165" t="s">
        <v>90</v>
      </c>
      <c r="L62" s="167" t="s">
        <v>137</v>
      </c>
      <c r="M62" s="168">
        <f>B17</f>
        <v>916670375.03999996</v>
      </c>
      <c r="N62" s="162" t="s">
        <v>138</v>
      </c>
      <c r="O62" s="161">
        <v>1020</v>
      </c>
      <c r="P62" s="162" t="s">
        <v>139</v>
      </c>
      <c r="Q62" s="113" t="s">
        <v>135</v>
      </c>
      <c r="R62" s="165">
        <f>B11</f>
        <v>4.2999999999999999E-4</v>
      </c>
      <c r="S62" s="166" t="s">
        <v>136</v>
      </c>
      <c r="T62" s="165">
        <v>1</v>
      </c>
      <c r="U62" s="165" t="s">
        <v>90</v>
      </c>
    </row>
    <row r="63" spans="1:21" ht="14.25" customHeight="1">
      <c r="A63" s="107"/>
      <c r="B63" s="113"/>
      <c r="C63" s="107"/>
      <c r="D63" s="169" t="s">
        <v>59</v>
      </c>
      <c r="E63" s="107"/>
      <c r="F63" s="170" t="s">
        <v>88</v>
      </c>
      <c r="G63" s="576"/>
      <c r="H63" s="125"/>
      <c r="I63" s="171" t="s">
        <v>140</v>
      </c>
      <c r="J63" s="172">
        <v>2000</v>
      </c>
      <c r="K63" s="125" t="s">
        <v>141</v>
      </c>
      <c r="L63" s="107"/>
      <c r="M63" s="107"/>
      <c r="N63" s="169" t="s">
        <v>59</v>
      </c>
      <c r="O63" s="179">
        <v>1000000</v>
      </c>
      <c r="P63" s="169" t="s">
        <v>68</v>
      </c>
      <c r="Q63" s="113"/>
      <c r="R63" s="125"/>
      <c r="S63" s="171" t="s">
        <v>140</v>
      </c>
      <c r="T63" s="172">
        <v>2000</v>
      </c>
      <c r="U63" s="125" t="s">
        <v>141</v>
      </c>
    </row>
    <row r="64" spans="1:21" ht="14.25" customHeight="1">
      <c r="A64" s="125"/>
      <c r="B64" s="125"/>
      <c r="C64" s="125"/>
      <c r="D64" s="125"/>
      <c r="E64" s="125"/>
      <c r="F64" s="125"/>
      <c r="L64" s="125"/>
      <c r="M64" s="125"/>
      <c r="N64" s="125"/>
      <c r="O64" s="125"/>
      <c r="P64" s="125"/>
      <c r="Q64" s="125"/>
      <c r="R64" s="125"/>
      <c r="S64" s="125"/>
      <c r="T64" s="125"/>
      <c r="U64" s="125"/>
    </row>
    <row r="65" spans="1:21" ht="14.25" customHeight="1">
      <c r="A65" s="159"/>
      <c r="B65" s="174">
        <f>(B62*E62*H62+M62*O62*R62/1000000)/2000</f>
        <v>0.20102581324627197</v>
      </c>
      <c r="C65" s="174"/>
      <c r="D65" s="125" t="s">
        <v>142</v>
      </c>
      <c r="E65" s="159" t="s">
        <v>86</v>
      </c>
      <c r="F65" s="132">
        <f>B65*(2000/8760)</f>
        <v>4.5896304394126015E-2</v>
      </c>
      <c r="G65" s="125" t="s">
        <v>143</v>
      </c>
      <c r="L65" s="125" t="s">
        <v>143</v>
      </c>
      <c r="N65" s="125"/>
      <c r="O65" s="125"/>
      <c r="P65" s="125"/>
      <c r="Q65" s="125"/>
      <c r="R65" s="125"/>
      <c r="S65" s="125"/>
      <c r="T65" s="125"/>
      <c r="U65" s="125"/>
    </row>
    <row r="66" spans="1:21" ht="14.25" customHeight="1">
      <c r="A66" s="125"/>
      <c r="B66" s="125"/>
      <c r="C66" s="125"/>
      <c r="D66" s="125"/>
      <c r="E66" s="125"/>
      <c r="F66" s="125"/>
      <c r="L66" s="125"/>
      <c r="M66" s="125"/>
      <c r="N66" s="125"/>
      <c r="O66" s="125"/>
      <c r="P66" s="125"/>
      <c r="Q66" s="125"/>
      <c r="R66" s="125"/>
      <c r="S66" s="125"/>
      <c r="T66" s="125"/>
      <c r="U66" s="125"/>
    </row>
    <row r="67" spans="1:21" ht="14.25" customHeight="1">
      <c r="A67" s="125"/>
      <c r="B67" s="125"/>
      <c r="C67" s="125"/>
      <c r="D67" s="125"/>
      <c r="E67" s="125"/>
      <c r="F67" s="125"/>
      <c r="L67" s="125"/>
      <c r="M67" s="125"/>
      <c r="N67" s="125"/>
      <c r="O67" s="125"/>
      <c r="P67" s="125"/>
      <c r="Q67" s="125"/>
      <c r="R67" s="125"/>
      <c r="S67" s="125"/>
      <c r="T67" s="125"/>
      <c r="U67" s="125"/>
    </row>
    <row r="68" spans="1:21" ht="14.25" customHeight="1">
      <c r="A68" s="159" t="s">
        <v>152</v>
      </c>
      <c r="B68" s="160">
        <f>B16</f>
        <v>0</v>
      </c>
      <c r="C68" s="161"/>
      <c r="D68" s="162" t="s">
        <v>133</v>
      </c>
      <c r="E68" s="163">
        <v>0.13800000000000001</v>
      </c>
      <c r="F68" s="164" t="s">
        <v>134</v>
      </c>
      <c r="G68" s="576" t="s">
        <v>135</v>
      </c>
      <c r="H68" s="181">
        <f>C12</f>
        <v>9.0000000000000002E-6</v>
      </c>
      <c r="I68" s="166" t="s">
        <v>136</v>
      </c>
      <c r="J68" s="165">
        <v>1</v>
      </c>
      <c r="K68" s="165" t="s">
        <v>90</v>
      </c>
      <c r="L68" s="167" t="s">
        <v>137</v>
      </c>
      <c r="M68" s="168">
        <f>B17</f>
        <v>916670375.03999996</v>
      </c>
      <c r="N68" s="162" t="s">
        <v>138</v>
      </c>
      <c r="O68" s="161">
        <v>1020</v>
      </c>
      <c r="P68" s="162" t="s">
        <v>139</v>
      </c>
      <c r="Q68" s="113" t="s">
        <v>135</v>
      </c>
      <c r="R68" s="165">
        <f>B12</f>
        <v>0</v>
      </c>
      <c r="S68" s="166" t="s">
        <v>136</v>
      </c>
      <c r="T68" s="165">
        <v>1</v>
      </c>
      <c r="U68" s="165" t="s">
        <v>90</v>
      </c>
    </row>
    <row r="69" spans="1:21" ht="14.25" customHeight="1">
      <c r="A69" s="107"/>
      <c r="B69" s="113"/>
      <c r="C69" s="107"/>
      <c r="D69" s="169" t="s">
        <v>59</v>
      </c>
      <c r="E69" s="107"/>
      <c r="F69" s="170" t="s">
        <v>88</v>
      </c>
      <c r="G69" s="576"/>
      <c r="H69" s="125"/>
      <c r="I69" s="171" t="s">
        <v>140</v>
      </c>
      <c r="J69" s="172">
        <v>2000</v>
      </c>
      <c r="K69" s="125" t="s">
        <v>141</v>
      </c>
      <c r="L69" s="107"/>
      <c r="M69" s="107"/>
      <c r="N69" s="169" t="s">
        <v>59</v>
      </c>
      <c r="O69" s="179">
        <v>1000000</v>
      </c>
      <c r="P69" s="169" t="s">
        <v>68</v>
      </c>
      <c r="Q69" s="113"/>
      <c r="R69" s="125"/>
      <c r="S69" s="171" t="s">
        <v>140</v>
      </c>
      <c r="T69" s="172">
        <v>2000</v>
      </c>
      <c r="U69" s="125" t="s">
        <v>141</v>
      </c>
    </row>
    <row r="70" spans="1:21" ht="14.25" customHeight="1">
      <c r="A70" s="125"/>
      <c r="B70" s="125"/>
      <c r="C70" s="125"/>
      <c r="D70" s="125"/>
      <c r="E70" s="125"/>
      <c r="F70" s="125"/>
      <c r="G70" s="125"/>
      <c r="H70" s="125"/>
      <c r="I70" s="125"/>
      <c r="J70" s="125"/>
      <c r="K70" s="125"/>
      <c r="L70" s="125"/>
      <c r="M70" s="125"/>
      <c r="N70" s="125"/>
      <c r="O70" s="125"/>
      <c r="P70" s="125"/>
    </row>
    <row r="71" spans="1:21" ht="14.25" customHeight="1">
      <c r="A71" s="159"/>
      <c r="B71" s="174">
        <f>(B68*E68*H68+M68*O68*R68/1000000)/2000</f>
        <v>0</v>
      </c>
      <c r="C71" s="174"/>
      <c r="D71" s="125" t="s">
        <v>142</v>
      </c>
      <c r="E71" s="159" t="s">
        <v>86</v>
      </c>
      <c r="F71" s="132">
        <f>B71*(2000/8760)</f>
        <v>0</v>
      </c>
      <c r="G71" s="125" t="s">
        <v>143</v>
      </c>
      <c r="I71" s="125"/>
      <c r="J71" s="125"/>
      <c r="K71" s="125"/>
      <c r="L71" s="125"/>
      <c r="M71" s="125"/>
      <c r="N71" s="125"/>
      <c r="O71" s="125"/>
      <c r="P71" s="125"/>
    </row>
    <row r="74" spans="1:21" ht="14.25" customHeight="1">
      <c r="A74" s="159" t="s">
        <v>153</v>
      </c>
      <c r="B74" s="160">
        <f>B16</f>
        <v>0</v>
      </c>
      <c r="C74" s="161"/>
      <c r="D74" s="162" t="s">
        <v>133</v>
      </c>
      <c r="E74" s="182">
        <f>W11</f>
        <v>22.578420600240001</v>
      </c>
      <c r="F74" s="164" t="s">
        <v>141</v>
      </c>
      <c r="G74" s="576" t="s">
        <v>135</v>
      </c>
      <c r="H74" s="165">
        <v>1</v>
      </c>
      <c r="I74" s="165" t="s">
        <v>90</v>
      </c>
      <c r="J74" s="167" t="s">
        <v>137</v>
      </c>
      <c r="M74" s="168">
        <f>B17</f>
        <v>916670375.03999996</v>
      </c>
      <c r="N74" s="162" t="s">
        <v>138</v>
      </c>
      <c r="O74" s="183">
        <f>W12</f>
        <v>0.12049378638965323</v>
      </c>
      <c r="P74" s="162" t="s">
        <v>141</v>
      </c>
      <c r="Q74" s="113" t="s">
        <v>135</v>
      </c>
      <c r="R74" s="165">
        <v>1</v>
      </c>
      <c r="S74" s="165" t="s">
        <v>90</v>
      </c>
    </row>
    <row r="75" spans="1:21" ht="14.25" customHeight="1">
      <c r="A75" s="107"/>
      <c r="B75" s="113"/>
      <c r="C75" s="107"/>
      <c r="D75" s="169" t="s">
        <v>59</v>
      </c>
      <c r="E75" s="107"/>
      <c r="F75" s="170" t="s">
        <v>88</v>
      </c>
      <c r="G75" s="576"/>
      <c r="H75" s="172">
        <v>2000</v>
      </c>
      <c r="I75" s="125" t="s">
        <v>141</v>
      </c>
      <c r="J75" s="107"/>
      <c r="M75" s="107"/>
      <c r="N75" s="169" t="s">
        <v>59</v>
      </c>
      <c r="O75" s="179"/>
      <c r="P75" s="169" t="s">
        <v>68</v>
      </c>
      <c r="Q75" s="113"/>
      <c r="R75" s="172">
        <v>2000</v>
      </c>
      <c r="S75" s="125" t="s">
        <v>141</v>
      </c>
    </row>
    <row r="76" spans="1:21" ht="14.25" customHeight="1">
      <c r="A76" s="125"/>
      <c r="B76" s="125"/>
      <c r="C76" s="125"/>
      <c r="D76" s="125"/>
      <c r="E76" s="125"/>
      <c r="F76" s="125"/>
      <c r="L76" s="125"/>
      <c r="M76" s="125"/>
      <c r="N76" s="125"/>
      <c r="O76" s="125"/>
      <c r="P76" s="125"/>
      <c r="Q76" s="125"/>
      <c r="R76" s="125"/>
      <c r="S76" s="125"/>
      <c r="T76" s="125"/>
      <c r="U76" s="125"/>
    </row>
    <row r="77" spans="1:21" ht="14.25" customHeight="1">
      <c r="A77" s="159"/>
      <c r="B77" s="174">
        <f>(B74*E74+M74*O74)/H75</f>
        <v>55226.542179896533</v>
      </c>
      <c r="C77" s="174"/>
      <c r="D77" s="125" t="s">
        <v>142</v>
      </c>
      <c r="E77" s="159" t="s">
        <v>86</v>
      </c>
      <c r="F77" s="132">
        <f>B77*(2000/8760)</f>
        <v>12608.799584451262</v>
      </c>
      <c r="G77" s="125" t="s">
        <v>143</v>
      </c>
      <c r="L77" s="125"/>
      <c r="N77" s="125"/>
      <c r="O77" s="125"/>
      <c r="P77" s="125"/>
      <c r="Q77" s="125"/>
      <c r="R77" s="125"/>
      <c r="S77" s="125"/>
      <c r="T77" s="125"/>
      <c r="U77" s="125"/>
    </row>
    <row r="78" spans="1:21" ht="14.25" customHeight="1">
      <c r="A78" s="125"/>
      <c r="B78" s="125"/>
      <c r="C78" s="125"/>
      <c r="D78" s="125"/>
      <c r="E78" s="125"/>
      <c r="F78" s="125"/>
      <c r="L78" s="125"/>
      <c r="M78" s="125"/>
      <c r="N78" s="125"/>
      <c r="O78" s="125"/>
      <c r="P78" s="125"/>
      <c r="Q78" s="125"/>
      <c r="R78" s="125"/>
      <c r="S78" s="125"/>
      <c r="T78" s="125"/>
      <c r="U78" s="125"/>
    </row>
    <row r="79" spans="1:21" ht="14.25" customHeight="1">
      <c r="A79" s="125"/>
      <c r="B79" s="125"/>
      <c r="C79" s="125"/>
      <c r="D79" s="125"/>
      <c r="E79" s="125"/>
      <c r="F79" s="125"/>
      <c r="L79" s="125"/>
      <c r="M79" s="125"/>
      <c r="N79" s="125"/>
      <c r="O79" s="125"/>
      <c r="P79" s="125"/>
      <c r="Q79" s="125"/>
      <c r="R79" s="125"/>
      <c r="S79" s="125"/>
      <c r="T79" s="125"/>
      <c r="U79" s="125"/>
    </row>
    <row r="80" spans="1:21" ht="14.25" customHeight="1">
      <c r="A80" s="85"/>
      <c r="B80" s="81" t="s">
        <v>154</v>
      </c>
      <c r="C80" s="81"/>
      <c r="D80" s="81"/>
      <c r="E80" s="81"/>
      <c r="F80" s="81"/>
      <c r="G80" s="81"/>
      <c r="H80" s="81"/>
      <c r="I80" s="81"/>
      <c r="J80" s="81"/>
      <c r="K80" s="85"/>
      <c r="L80" s="85"/>
      <c r="M80" s="85"/>
      <c r="N80" s="85"/>
      <c r="O80" s="85"/>
      <c r="P80" s="85"/>
    </row>
    <row r="81" spans="2:10" ht="14.25" customHeight="1">
      <c r="B81" s="81" t="s">
        <v>155</v>
      </c>
      <c r="C81" s="81"/>
      <c r="D81" s="81"/>
      <c r="E81" s="81"/>
      <c r="F81" s="81"/>
      <c r="G81" s="81"/>
      <c r="H81" s="81"/>
      <c r="I81" s="81"/>
      <c r="J81" s="81"/>
    </row>
    <row r="82" spans="2:10" ht="14.25" customHeight="1">
      <c r="B82" s="81" t="s">
        <v>156</v>
      </c>
      <c r="C82" s="81"/>
      <c r="D82" s="81"/>
      <c r="E82" s="81"/>
      <c r="F82" s="81"/>
      <c r="G82" s="81"/>
      <c r="H82" s="81"/>
      <c r="I82" s="81"/>
      <c r="J82" s="81"/>
    </row>
    <row r="83" spans="2:10" ht="14.25" customHeight="1">
      <c r="B83" s="81" t="s">
        <v>157</v>
      </c>
      <c r="C83" s="81"/>
      <c r="D83" s="85"/>
      <c r="E83" s="85"/>
      <c r="F83" s="85"/>
      <c r="G83" s="85"/>
      <c r="H83" s="85"/>
      <c r="I83" s="85"/>
      <c r="J83" s="85"/>
    </row>
  </sheetData>
  <mergeCells count="13">
    <mergeCell ref="A1:P1"/>
    <mergeCell ref="F6:N6"/>
    <mergeCell ref="G20:G21"/>
    <mergeCell ref="Q20:Q21"/>
    <mergeCell ref="G26:G27"/>
    <mergeCell ref="G62:G63"/>
    <mergeCell ref="G68:G69"/>
    <mergeCell ref="G74:G75"/>
    <mergeCell ref="G32:G33"/>
    <mergeCell ref="G38:G39"/>
    <mergeCell ref="G44:G45"/>
    <mergeCell ref="G50:G51"/>
    <mergeCell ref="G56:G57"/>
  </mergeCells>
  <pageMargins left="0.7" right="0.7" top="0.75" bottom="0.75" header="0.511811023622047" footer="0.511811023622047"/>
  <pageSetup paperSize="9" orientation="portrait" horizontalDpi="300" verticalDpi="300"/>
  <legacy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2:T56"/>
  <sheetViews>
    <sheetView zoomScaleNormal="100" workbookViewId="0"/>
  </sheetViews>
  <sheetFormatPr defaultColWidth="8.85546875" defaultRowHeight="15"/>
  <cols>
    <col min="1" max="1" width="10.5703125" style="23" customWidth="1"/>
    <col min="2" max="2" width="14.5703125" style="23" customWidth="1"/>
    <col min="3" max="3" width="14.42578125" style="23" customWidth="1"/>
    <col min="4" max="4" width="17.5703125" style="23" customWidth="1"/>
    <col min="5" max="5" width="16.28515625" style="23" customWidth="1"/>
    <col min="6" max="6" width="18.28515625" style="23" customWidth="1"/>
    <col min="7" max="7" width="9.42578125" style="23" customWidth="1"/>
    <col min="8" max="8" width="14.28515625" style="23" customWidth="1"/>
    <col min="9" max="9" width="13.140625" style="23" customWidth="1"/>
    <col min="10" max="10" width="12.85546875" style="23" customWidth="1"/>
    <col min="11" max="16384" width="8.85546875" style="23"/>
  </cols>
  <sheetData>
    <row r="2" spans="1:20" ht="14.25" customHeight="1">
      <c r="A2" s="566" t="s">
        <v>208</v>
      </c>
      <c r="B2" s="566"/>
      <c r="C2" s="566"/>
      <c r="D2" s="566"/>
      <c r="E2" s="566"/>
      <c r="F2" s="566"/>
      <c r="H2" s="580" t="s">
        <v>209</v>
      </c>
      <c r="I2" s="580"/>
    </row>
    <row r="3" spans="1:20" ht="14.25" customHeight="1">
      <c r="A3" s="580" t="s">
        <v>59</v>
      </c>
      <c r="B3" s="585" t="s">
        <v>58</v>
      </c>
      <c r="C3" s="585"/>
      <c r="D3" s="586" t="s">
        <v>56</v>
      </c>
      <c r="E3" s="586"/>
      <c r="F3" s="587" t="s">
        <v>210</v>
      </c>
      <c r="H3" s="580"/>
      <c r="I3" s="580"/>
    </row>
    <row r="4" spans="1:20" ht="14.25" customHeight="1">
      <c r="A4" s="580"/>
      <c r="B4" s="28" t="s">
        <v>211</v>
      </c>
      <c r="C4" s="238" t="s">
        <v>212</v>
      </c>
      <c r="D4" s="239" t="s">
        <v>211</v>
      </c>
      <c r="E4" s="238" t="s">
        <v>212</v>
      </c>
      <c r="F4" s="587"/>
      <c r="H4" s="24" t="s">
        <v>211</v>
      </c>
      <c r="I4" s="24" t="s">
        <v>212</v>
      </c>
      <c r="T4" s="184"/>
    </row>
    <row r="5" spans="1:20" ht="14.25" customHeight="1">
      <c r="A5" s="32">
        <v>46023</v>
      </c>
      <c r="B5" s="55"/>
      <c r="C5" s="55"/>
      <c r="D5" s="240"/>
      <c r="E5" s="241"/>
      <c r="F5" s="186"/>
      <c r="H5" s="242"/>
      <c r="I5" s="243"/>
      <c r="T5" s="189"/>
    </row>
    <row r="6" spans="1:20" ht="14.25" customHeight="1">
      <c r="A6" s="40">
        <v>46054</v>
      </c>
      <c r="B6" s="55"/>
      <c r="C6" s="55"/>
      <c r="D6" s="244"/>
      <c r="E6" s="241"/>
      <c r="F6" s="191"/>
      <c r="H6" s="245"/>
      <c r="I6" s="246"/>
      <c r="T6" s="189"/>
    </row>
    <row r="7" spans="1:20" ht="14.25" customHeight="1">
      <c r="A7" s="40">
        <v>46082</v>
      </c>
      <c r="B7" s="55"/>
      <c r="C7" s="55"/>
      <c r="D7" s="244"/>
      <c r="E7" s="247"/>
      <c r="F7" s="191"/>
      <c r="H7" s="245"/>
      <c r="I7" s="246"/>
      <c r="T7" s="189"/>
    </row>
    <row r="8" spans="1:20" ht="14.25" customHeight="1">
      <c r="A8" s="40">
        <v>46113</v>
      </c>
      <c r="B8" s="55"/>
      <c r="C8" s="55"/>
      <c r="D8" s="244"/>
      <c r="E8" s="247"/>
      <c r="F8" s="191"/>
      <c r="H8" s="245"/>
      <c r="I8" s="246"/>
      <c r="T8" s="189"/>
    </row>
    <row r="9" spans="1:20" ht="14.25" customHeight="1">
      <c r="A9" s="40">
        <v>46143</v>
      </c>
      <c r="B9" s="55"/>
      <c r="C9" s="55"/>
      <c r="D9" s="244"/>
      <c r="E9" s="247"/>
      <c r="F9" s="191"/>
      <c r="H9" s="245"/>
      <c r="I9" s="246"/>
      <c r="T9" s="189"/>
    </row>
    <row r="10" spans="1:20" ht="14.25" customHeight="1">
      <c r="A10" s="48">
        <v>46174</v>
      </c>
      <c r="B10" s="65">
        <v>0</v>
      </c>
      <c r="C10" s="65">
        <v>264973.12</v>
      </c>
      <c r="D10" s="248">
        <f>SUM(B10*42)</f>
        <v>0</v>
      </c>
      <c r="E10" s="249">
        <f>SUM(C10*42)</f>
        <v>11128871.039999999</v>
      </c>
      <c r="F10" s="195">
        <f>D10+E10</f>
        <v>11128871.039999999</v>
      </c>
      <c r="G10" s="64"/>
      <c r="H10" s="49">
        <v>0.47</v>
      </c>
      <c r="I10" s="53">
        <v>0.47</v>
      </c>
      <c r="T10" s="189"/>
    </row>
    <row r="11" spans="1:20" ht="14.25" customHeight="1">
      <c r="A11" s="40">
        <v>46204</v>
      </c>
      <c r="B11" s="55"/>
      <c r="C11" s="55"/>
      <c r="D11" s="244">
        <f>SUM(B11*42)</f>
        <v>0</v>
      </c>
      <c r="E11" s="247">
        <f>SUM(C11*42)</f>
        <v>0</v>
      </c>
      <c r="F11" s="191">
        <f>D11+E11</f>
        <v>0</v>
      </c>
      <c r="H11" s="41"/>
      <c r="I11" s="45"/>
      <c r="T11" s="189"/>
    </row>
    <row r="12" spans="1:20" ht="14.25" customHeight="1">
      <c r="A12" s="40">
        <v>46235</v>
      </c>
      <c r="B12" s="55"/>
      <c r="C12" s="55"/>
      <c r="D12" s="244">
        <f>SUM(B12*42)</f>
        <v>0</v>
      </c>
      <c r="E12" s="247">
        <f>SUM(C12*42)</f>
        <v>0</v>
      </c>
      <c r="F12" s="191">
        <f>D12+E12</f>
        <v>0</v>
      </c>
      <c r="H12" s="245"/>
      <c r="I12" s="246"/>
      <c r="L12" s="55"/>
      <c r="T12" s="189"/>
    </row>
    <row r="13" spans="1:20" ht="14.25" customHeight="1">
      <c r="A13" s="40">
        <v>46266</v>
      </c>
      <c r="B13" s="55"/>
      <c r="C13" s="55"/>
      <c r="D13" s="244">
        <f>SUM(B13*42)</f>
        <v>0</v>
      </c>
      <c r="E13" s="247">
        <f>SUM(C13*42)</f>
        <v>0</v>
      </c>
      <c r="F13" s="191">
        <f>D13+E13</f>
        <v>0</v>
      </c>
      <c r="H13" s="245"/>
      <c r="I13" s="246"/>
      <c r="L13" s="55"/>
      <c r="T13" s="189"/>
    </row>
    <row r="14" spans="1:20" ht="14.25" customHeight="1">
      <c r="A14" s="40">
        <v>46296</v>
      </c>
      <c r="B14" s="55"/>
      <c r="C14" s="55"/>
      <c r="D14" s="244">
        <f>SUM(B14*42)</f>
        <v>0</v>
      </c>
      <c r="E14" s="247">
        <f>SUM(C14*42)</f>
        <v>0</v>
      </c>
      <c r="F14" s="191">
        <f>D14+E14</f>
        <v>0</v>
      </c>
      <c r="H14" s="245"/>
      <c r="I14" s="246"/>
      <c r="L14" s="55"/>
      <c r="T14" s="189"/>
    </row>
    <row r="15" spans="1:20" ht="14.25" customHeight="1">
      <c r="A15" s="40">
        <v>46327</v>
      </c>
      <c r="B15" s="55"/>
      <c r="C15" s="55"/>
      <c r="D15" s="244">
        <f>SUM(B15*42)</f>
        <v>0</v>
      </c>
      <c r="E15" s="247">
        <f>SUM(C15*42)</f>
        <v>0</v>
      </c>
      <c r="F15" s="191">
        <f>D15+E15</f>
        <v>0</v>
      </c>
      <c r="H15" s="245"/>
      <c r="I15" s="246"/>
      <c r="L15" s="55"/>
      <c r="T15" s="189"/>
    </row>
    <row r="16" spans="1:20" ht="14.25" customHeight="1">
      <c r="A16" s="40">
        <v>46357</v>
      </c>
      <c r="B16" s="55"/>
      <c r="C16" s="55"/>
      <c r="D16" s="250">
        <f>SUM(B16*42)</f>
        <v>0</v>
      </c>
      <c r="E16" s="251">
        <f>SUM(C16*42)</f>
        <v>0</v>
      </c>
      <c r="F16" s="252">
        <f>D16+E16</f>
        <v>0</v>
      </c>
      <c r="H16" s="253"/>
      <c r="I16" s="254"/>
      <c r="L16" s="55"/>
      <c r="T16" s="68"/>
    </row>
    <row r="17" spans="1:18" ht="14.25" customHeight="1">
      <c r="A17" s="24" t="s">
        <v>20</v>
      </c>
      <c r="B17" s="255">
        <f>SUM(B5:B16)</f>
        <v>0</v>
      </c>
      <c r="C17" s="255">
        <f>SUM(C5:C16)</f>
        <v>264973.12</v>
      </c>
      <c r="D17" s="255">
        <f>SUM(D5:D16)</f>
        <v>0</v>
      </c>
      <c r="E17" s="255">
        <f>SUM(E5:E16)</f>
        <v>11128871.039999999</v>
      </c>
      <c r="F17" s="256">
        <f>D17+E17</f>
        <v>11128871.039999999</v>
      </c>
      <c r="H17" s="61">
        <f>AVERAGE(H5:H16)</f>
        <v>0.47</v>
      </c>
      <c r="I17" s="61">
        <f>AVERAGE(I5:I16)</f>
        <v>0.47</v>
      </c>
      <c r="J17" s="257" t="s">
        <v>213</v>
      </c>
      <c r="L17" s="63"/>
    </row>
    <row r="18" spans="1:18" ht="14.25" customHeight="1">
      <c r="F18" s="256">
        <f>SUM(F5:F16)</f>
        <v>11128871.039999999</v>
      </c>
      <c r="H18" s="258"/>
      <c r="I18" s="259"/>
      <c r="J18" s="68"/>
    </row>
    <row r="20" spans="1:18" ht="14.25" customHeight="1">
      <c r="A20" s="566" t="s">
        <v>214</v>
      </c>
      <c r="B20" s="566"/>
      <c r="C20" s="566"/>
      <c r="D20" s="566"/>
      <c r="E20" s="566"/>
      <c r="F20" s="566"/>
      <c r="G20" s="566"/>
      <c r="H20" s="566"/>
      <c r="I20" s="566"/>
      <c r="J20" s="566"/>
      <c r="K20" s="566"/>
      <c r="L20" s="566"/>
      <c r="M20" s="566"/>
      <c r="N20" s="566"/>
      <c r="O20" s="566"/>
      <c r="P20" s="566"/>
      <c r="Q20" s="566"/>
      <c r="R20" s="566"/>
    </row>
    <row r="21" spans="1:18" ht="14.25" customHeight="1">
      <c r="A21" s="570" t="s">
        <v>56</v>
      </c>
      <c r="B21" s="570"/>
      <c r="C21" s="570"/>
      <c r="D21" s="570"/>
      <c r="E21" s="570"/>
      <c r="F21" s="570"/>
      <c r="G21" s="570"/>
      <c r="H21" s="570"/>
      <c r="I21" s="570"/>
      <c r="J21" s="570"/>
      <c r="K21" s="566" t="s">
        <v>57</v>
      </c>
      <c r="L21" s="566"/>
      <c r="M21" s="566"/>
      <c r="N21" s="566"/>
      <c r="O21" s="566"/>
      <c r="P21" s="566"/>
      <c r="Q21" s="566"/>
      <c r="R21" s="566"/>
    </row>
    <row r="22" spans="1:18" ht="14.25" customHeight="1">
      <c r="A22" s="260" t="s">
        <v>59</v>
      </c>
      <c r="B22" s="261" t="s">
        <v>215</v>
      </c>
      <c r="C22" s="262" t="s">
        <v>216</v>
      </c>
      <c r="D22" s="262" t="s">
        <v>217</v>
      </c>
      <c r="E22" s="263" t="s">
        <v>218</v>
      </c>
      <c r="F22" s="264" t="s">
        <v>219</v>
      </c>
      <c r="G22" s="27"/>
      <c r="H22" s="28" t="s">
        <v>220</v>
      </c>
      <c r="I22" s="265" t="s">
        <v>221</v>
      </c>
      <c r="J22" s="29" t="s">
        <v>222</v>
      </c>
      <c r="K22" s="555" t="s">
        <v>215</v>
      </c>
      <c r="L22" s="265" t="s">
        <v>216</v>
      </c>
      <c r="M22" s="265" t="s">
        <v>217</v>
      </c>
      <c r="N22" s="265" t="s">
        <v>218</v>
      </c>
      <c r="O22" s="265" t="s">
        <v>219</v>
      </c>
      <c r="P22" s="265" t="s">
        <v>220</v>
      </c>
      <c r="Q22" s="265" t="s">
        <v>221</v>
      </c>
      <c r="R22" s="31" t="s">
        <v>222</v>
      </c>
    </row>
    <row r="23" spans="1:18" ht="14.25" customHeight="1">
      <c r="A23" s="32">
        <f>A5</f>
        <v>46023</v>
      </c>
      <c r="B23" s="266"/>
      <c r="C23" s="267"/>
      <c r="D23" s="267"/>
      <c r="E23" s="267"/>
      <c r="F23" s="268"/>
      <c r="G23" s="32">
        <f>A23</f>
        <v>46023</v>
      </c>
      <c r="H23" s="269"/>
      <c r="I23" s="267"/>
      <c r="J23" s="270"/>
      <c r="K23" s="55">
        <v>0.01</v>
      </c>
      <c r="L23" s="55">
        <v>0.01</v>
      </c>
      <c r="M23" s="55">
        <v>0.01</v>
      </c>
      <c r="N23" s="55">
        <v>0.01</v>
      </c>
      <c r="O23" s="55">
        <v>0.01</v>
      </c>
      <c r="P23" s="271">
        <v>0.01</v>
      </c>
      <c r="Q23" s="55">
        <v>0.01</v>
      </c>
      <c r="R23" s="55">
        <v>0.01</v>
      </c>
    </row>
    <row r="24" spans="1:18" ht="14.25" customHeight="1">
      <c r="A24" s="32">
        <f>A6</f>
        <v>46054</v>
      </c>
      <c r="B24" s="272"/>
      <c r="C24" s="273"/>
      <c r="D24" s="273"/>
      <c r="E24" s="273"/>
      <c r="F24" s="268"/>
      <c r="G24" s="274">
        <f>A24</f>
        <v>46054</v>
      </c>
      <c r="H24" s="275"/>
      <c r="I24" s="273"/>
      <c r="J24" s="276"/>
      <c r="K24" s="55">
        <v>0.01</v>
      </c>
      <c r="L24" s="55">
        <v>0.01</v>
      </c>
      <c r="M24" s="55">
        <v>0.01</v>
      </c>
      <c r="N24" s="55">
        <v>0.01</v>
      </c>
      <c r="O24" s="55">
        <v>0.01</v>
      </c>
      <c r="P24" s="277">
        <v>0.01</v>
      </c>
      <c r="Q24" s="55">
        <v>0.01</v>
      </c>
      <c r="R24" s="55">
        <v>0.01</v>
      </c>
    </row>
    <row r="25" spans="1:18" ht="14.25" customHeight="1">
      <c r="A25" s="32">
        <f>A7</f>
        <v>46082</v>
      </c>
      <c r="B25" s="272"/>
      <c r="C25" s="273"/>
      <c r="D25" s="273"/>
      <c r="E25" s="273"/>
      <c r="F25" s="268"/>
      <c r="G25" s="274">
        <f>A25</f>
        <v>46082</v>
      </c>
      <c r="H25" s="275"/>
      <c r="I25" s="273"/>
      <c r="J25" s="276"/>
      <c r="K25" s="55">
        <v>0.01</v>
      </c>
      <c r="L25" s="55">
        <v>0.01</v>
      </c>
      <c r="M25" s="55">
        <v>0.01</v>
      </c>
      <c r="N25" s="55">
        <v>0.01</v>
      </c>
      <c r="O25" s="55">
        <v>0.01</v>
      </c>
      <c r="P25" s="277">
        <v>0.01</v>
      </c>
      <c r="Q25" s="55">
        <v>0.01</v>
      </c>
      <c r="R25" s="55">
        <v>0.01</v>
      </c>
    </row>
    <row r="26" spans="1:18" ht="14.25" customHeight="1">
      <c r="A26" s="32">
        <f>A8</f>
        <v>46113</v>
      </c>
      <c r="B26" s="272"/>
      <c r="C26" s="273"/>
      <c r="D26" s="273"/>
      <c r="E26" s="273"/>
      <c r="F26" s="268"/>
      <c r="G26" s="274">
        <f>A26</f>
        <v>46113</v>
      </c>
      <c r="H26" s="275"/>
      <c r="I26" s="273"/>
      <c r="J26" s="276"/>
      <c r="K26" s="55">
        <v>0.01</v>
      </c>
      <c r="L26" s="55">
        <v>0.01</v>
      </c>
      <c r="M26" s="55">
        <v>0.01</v>
      </c>
      <c r="N26" s="55">
        <v>0.01</v>
      </c>
      <c r="O26" s="55">
        <v>0.01</v>
      </c>
      <c r="P26" s="277">
        <v>0.01</v>
      </c>
      <c r="Q26" s="55">
        <v>0.01</v>
      </c>
      <c r="R26" s="55">
        <v>0.01</v>
      </c>
    </row>
    <row r="27" spans="1:18" ht="14.25" customHeight="1">
      <c r="A27" s="32">
        <f>A9</f>
        <v>46143</v>
      </c>
      <c r="B27" s="272"/>
      <c r="C27" s="273"/>
      <c r="D27" s="273"/>
      <c r="E27" s="273"/>
      <c r="F27" s="268"/>
      <c r="G27" s="274">
        <f>A27</f>
        <v>46143</v>
      </c>
      <c r="H27" s="275"/>
      <c r="I27" s="273"/>
      <c r="J27" s="276"/>
      <c r="K27" s="55">
        <v>0.01</v>
      </c>
      <c r="L27" s="55">
        <v>0.01</v>
      </c>
      <c r="M27" s="55">
        <v>0.01</v>
      </c>
      <c r="N27" s="55">
        <v>0.01</v>
      </c>
      <c r="O27" s="55">
        <v>0.01</v>
      </c>
      <c r="P27" s="277">
        <v>0.01</v>
      </c>
      <c r="Q27" s="55">
        <v>0.01</v>
      </c>
      <c r="R27" s="55">
        <v>0.01</v>
      </c>
    </row>
    <row r="28" spans="1:18" ht="14.25" customHeight="1">
      <c r="A28" s="278">
        <f>A10</f>
        <v>46174</v>
      </c>
      <c r="B28" s="279">
        <v>1193105</v>
      </c>
      <c r="C28" s="280">
        <v>1003434</v>
      </c>
      <c r="D28" s="280">
        <v>0</v>
      </c>
      <c r="E28" s="280">
        <v>0</v>
      </c>
      <c r="F28" s="281">
        <v>598335</v>
      </c>
      <c r="G28" s="282">
        <f>A28</f>
        <v>46174</v>
      </c>
      <c r="H28" s="283">
        <v>900401</v>
      </c>
      <c r="I28" s="280">
        <v>0</v>
      </c>
      <c r="J28" s="284">
        <v>1057264</v>
      </c>
      <c r="K28" s="65">
        <v>0.01</v>
      </c>
      <c r="L28" s="65">
        <v>0.01</v>
      </c>
      <c r="M28" s="65">
        <v>0.01</v>
      </c>
      <c r="N28" s="65">
        <v>0.01</v>
      </c>
      <c r="O28" s="65">
        <v>0.01</v>
      </c>
      <c r="P28" s="54">
        <v>0.01</v>
      </c>
      <c r="Q28" s="65">
        <v>0.01</v>
      </c>
      <c r="R28" s="65">
        <v>0.01</v>
      </c>
    </row>
    <row r="29" spans="1:18" ht="14.25" customHeight="1">
      <c r="A29" s="32">
        <f>A11</f>
        <v>46204</v>
      </c>
      <c r="B29" s="285"/>
      <c r="C29" s="268"/>
      <c r="D29" s="268"/>
      <c r="E29" s="268"/>
      <c r="F29" s="286">
        <v>0</v>
      </c>
      <c r="G29" s="274">
        <f>A29</f>
        <v>46204</v>
      </c>
      <c r="H29" s="287"/>
      <c r="I29" s="268"/>
      <c r="J29" s="268"/>
      <c r="K29" s="55">
        <v>0.01</v>
      </c>
      <c r="L29" s="55">
        <v>0.01</v>
      </c>
      <c r="M29" s="55">
        <v>0.01</v>
      </c>
      <c r="N29" s="55">
        <v>0.01</v>
      </c>
      <c r="O29" s="55">
        <v>0.01</v>
      </c>
      <c r="P29" s="277">
        <v>0.01</v>
      </c>
      <c r="Q29" s="55">
        <v>0.01</v>
      </c>
      <c r="R29" s="55">
        <v>0.01</v>
      </c>
    </row>
    <row r="30" spans="1:18" ht="14.25" customHeight="1">
      <c r="A30" s="288">
        <f>A12</f>
        <v>46235</v>
      </c>
      <c r="B30" s="285"/>
      <c r="C30" s="268"/>
      <c r="D30" s="268"/>
      <c r="E30" s="268"/>
      <c r="F30" s="286">
        <v>0</v>
      </c>
      <c r="G30" s="274">
        <f>A30</f>
        <v>46235</v>
      </c>
      <c r="H30" s="287"/>
      <c r="I30" s="268"/>
      <c r="J30" s="268"/>
      <c r="K30" s="55">
        <v>0.01</v>
      </c>
      <c r="L30" s="55">
        <v>0.01</v>
      </c>
      <c r="M30" s="55">
        <v>0.01</v>
      </c>
      <c r="N30" s="55">
        <v>0.01</v>
      </c>
      <c r="O30" s="55">
        <v>0.01</v>
      </c>
      <c r="P30" s="277">
        <v>0.01</v>
      </c>
      <c r="Q30" s="55">
        <v>0.01</v>
      </c>
      <c r="R30" s="55">
        <v>0.01</v>
      </c>
    </row>
    <row r="31" spans="1:18" ht="14.25" customHeight="1">
      <c r="A31" s="289">
        <f>A13</f>
        <v>46266</v>
      </c>
      <c r="B31" s="290"/>
      <c r="C31" s="268"/>
      <c r="D31" s="268"/>
      <c r="E31" s="268"/>
      <c r="F31" s="286">
        <v>0</v>
      </c>
      <c r="G31" s="274">
        <f>A31</f>
        <v>46266</v>
      </c>
      <c r="H31" s="287"/>
      <c r="I31" s="268"/>
      <c r="J31" s="268"/>
      <c r="K31" s="55">
        <v>0.01</v>
      </c>
      <c r="L31" s="55">
        <v>0.01</v>
      </c>
      <c r="M31" s="55">
        <v>0.01</v>
      </c>
      <c r="N31" s="55">
        <v>0.01</v>
      </c>
      <c r="O31" s="55">
        <v>0.01</v>
      </c>
      <c r="P31" s="277">
        <v>0.01</v>
      </c>
      <c r="Q31" s="55">
        <v>0.01</v>
      </c>
      <c r="R31" s="55">
        <v>0.01</v>
      </c>
    </row>
    <row r="32" spans="1:18" ht="14.25" customHeight="1">
      <c r="A32" s="289">
        <f>A14</f>
        <v>46296</v>
      </c>
      <c r="B32" s="290"/>
      <c r="C32" s="268"/>
      <c r="D32" s="268"/>
      <c r="E32" s="268"/>
      <c r="F32" s="286">
        <v>0</v>
      </c>
      <c r="G32" s="274">
        <f>A32</f>
        <v>46296</v>
      </c>
      <c r="H32" s="287"/>
      <c r="I32" s="268"/>
      <c r="J32" s="268"/>
      <c r="K32" s="55">
        <v>0.01</v>
      </c>
      <c r="L32" s="55">
        <v>0.01</v>
      </c>
      <c r="M32" s="55">
        <v>0.01</v>
      </c>
      <c r="N32" s="55">
        <v>0.01</v>
      </c>
      <c r="O32" s="55">
        <v>0.01</v>
      </c>
      <c r="P32" s="277">
        <v>0.01</v>
      </c>
      <c r="Q32" s="55">
        <v>0.01</v>
      </c>
      <c r="R32" s="55">
        <v>0.01</v>
      </c>
    </row>
    <row r="33" spans="1:18" ht="14.25" customHeight="1">
      <c r="A33" s="289">
        <f>A15</f>
        <v>46327</v>
      </c>
      <c r="B33" s="290"/>
      <c r="C33" s="268"/>
      <c r="D33" s="268"/>
      <c r="E33" s="268"/>
      <c r="F33" s="286">
        <v>0</v>
      </c>
      <c r="G33" s="274">
        <f>A33</f>
        <v>46327</v>
      </c>
      <c r="H33" s="43"/>
      <c r="I33" s="268"/>
      <c r="J33" s="268"/>
      <c r="K33" s="55">
        <v>0.01</v>
      </c>
      <c r="L33" s="55">
        <v>0.01</v>
      </c>
      <c r="M33" s="55">
        <v>0.01</v>
      </c>
      <c r="N33" s="55">
        <v>0.01</v>
      </c>
      <c r="O33" s="55">
        <v>0.01</v>
      </c>
      <c r="P33" s="277">
        <v>0.01</v>
      </c>
      <c r="Q33" s="55">
        <v>0.01</v>
      </c>
      <c r="R33" s="55">
        <v>0.01</v>
      </c>
    </row>
    <row r="34" spans="1:18" ht="14.25" customHeight="1">
      <c r="A34" s="289">
        <f>A16</f>
        <v>46357</v>
      </c>
      <c r="B34" s="291"/>
      <c r="C34" s="292"/>
      <c r="D34" s="292"/>
      <c r="E34" s="293"/>
      <c r="F34" s="294">
        <v>0</v>
      </c>
      <c r="G34" s="274">
        <f>A34</f>
        <v>46357</v>
      </c>
      <c r="H34" s="295"/>
      <c r="I34" s="296"/>
      <c r="J34" s="296"/>
      <c r="K34" s="55">
        <v>0.01</v>
      </c>
      <c r="L34" s="55">
        <v>0.01</v>
      </c>
      <c r="M34" s="55">
        <v>0.01</v>
      </c>
      <c r="N34" s="55">
        <v>0.01</v>
      </c>
      <c r="O34" s="55">
        <v>0.01</v>
      </c>
      <c r="P34" s="297">
        <v>0.01</v>
      </c>
      <c r="Q34" s="55">
        <v>0.01</v>
      </c>
      <c r="R34" s="55">
        <v>0.01</v>
      </c>
    </row>
    <row r="35" spans="1:18" ht="14.25" customHeight="1">
      <c r="A35" s="298" t="s">
        <v>20</v>
      </c>
      <c r="B35" s="299">
        <f>SUM(B23:B34)</f>
        <v>1193105</v>
      </c>
      <c r="C35" s="299">
        <f>SUM(C23:C34)</f>
        <v>1003434</v>
      </c>
      <c r="D35" s="299">
        <f>SUM(D23:D34)</f>
        <v>0</v>
      </c>
      <c r="E35" s="299">
        <f>SUM(E23:E34)</f>
        <v>0</v>
      </c>
      <c r="F35" s="299">
        <f>SUM(F23:F34)</f>
        <v>598335</v>
      </c>
      <c r="G35" s="300"/>
      <c r="H35" s="255">
        <f>SUM(H23:H34)</f>
        <v>900401</v>
      </c>
      <c r="I35" s="255">
        <f>SUM(I23:I34)</f>
        <v>0</v>
      </c>
      <c r="J35" s="255">
        <f>SUM(J23:J34)</f>
        <v>1057264</v>
      </c>
      <c r="K35" s="301">
        <f>AVERAGE(K23:K34)</f>
        <v>9.9999999999999985E-3</v>
      </c>
      <c r="L35" s="301">
        <f>AVERAGE(L23:L34)</f>
        <v>9.9999999999999985E-3</v>
      </c>
      <c r="M35" s="301">
        <f>AVERAGE(M23:M34)</f>
        <v>9.9999999999999985E-3</v>
      </c>
      <c r="N35" s="301">
        <f>AVERAGE(N23:N34)</f>
        <v>9.9999999999999985E-3</v>
      </c>
      <c r="O35" s="301">
        <f>AVERAGE(O23:O34)</f>
        <v>9.9999999999999985E-3</v>
      </c>
      <c r="P35" s="302">
        <v>0</v>
      </c>
      <c r="Q35" s="301">
        <f>AVERAGE(Q23:Q34)</f>
        <v>9.9999999999999985E-3</v>
      </c>
      <c r="R35" s="301">
        <f>AVERAGE(R23:R34)</f>
        <v>9.9999999999999985E-3</v>
      </c>
    </row>
    <row r="36" spans="1:18" ht="14.25" customHeight="1">
      <c r="B36" s="63">
        <f>SUM(B29:B34)</f>
        <v>0</v>
      </c>
      <c r="C36" s="63">
        <f>SUM(C29:C34)</f>
        <v>0</v>
      </c>
      <c r="D36" s="63">
        <f>SUM(D29:D34)</f>
        <v>0</v>
      </c>
      <c r="E36" s="63">
        <f>SUM(E23:E34)</f>
        <v>0</v>
      </c>
      <c r="F36" s="63">
        <f>SUM(F29:F34)</f>
        <v>0</v>
      </c>
      <c r="G36" s="63"/>
      <c r="H36" s="63">
        <f>SUM(H29:H34)</f>
        <v>0</v>
      </c>
      <c r="I36" s="63">
        <f>SUM(I29:I34)</f>
        <v>0</v>
      </c>
      <c r="J36" s="63">
        <f>SUM(J29:J34)</f>
        <v>0</v>
      </c>
    </row>
    <row r="37" spans="1:18" ht="14.25" customHeight="1">
      <c r="F37" s="63"/>
      <c r="H37" s="199">
        <f>B35+C35+D35+E35+F35+H35+I35+J35</f>
        <v>4752539</v>
      </c>
    </row>
    <row r="38" spans="1:18" ht="14.25" customHeight="1">
      <c r="A38" s="566" t="s">
        <v>223</v>
      </c>
      <c r="B38" s="566"/>
      <c r="C38" s="566"/>
      <c r="D38" s="566"/>
      <c r="E38" s="566"/>
    </row>
    <row r="39" spans="1:18" ht="14.25" customHeight="1">
      <c r="A39" s="566" t="s">
        <v>56</v>
      </c>
      <c r="B39" s="566"/>
      <c r="C39" s="566"/>
      <c r="D39" s="566" t="s">
        <v>57</v>
      </c>
      <c r="E39" s="566"/>
      <c r="H39" s="584"/>
      <c r="I39" s="584"/>
    </row>
    <row r="40" spans="1:18" ht="14.25" customHeight="1">
      <c r="A40" s="303">
        <v>46023</v>
      </c>
      <c r="B40" s="555">
        <v>0</v>
      </c>
      <c r="C40" s="31">
        <v>0</v>
      </c>
      <c r="D40" s="28">
        <v>0</v>
      </c>
      <c r="E40" s="31">
        <v>0</v>
      </c>
      <c r="H40" s="184"/>
      <c r="I40" s="184"/>
    </row>
    <row r="41" spans="1:18" ht="14.25" customHeight="1">
      <c r="A41" s="289">
        <v>46054</v>
      </c>
      <c r="B41" s="55">
        <v>0</v>
      </c>
      <c r="C41" s="55">
        <v>0</v>
      </c>
      <c r="D41" s="55">
        <v>0</v>
      </c>
      <c r="E41" s="55">
        <v>0</v>
      </c>
      <c r="H41" s="189"/>
      <c r="I41" s="189"/>
    </row>
    <row r="42" spans="1:18" ht="14.25" customHeight="1">
      <c r="A42" s="289">
        <f>A24</f>
        <v>46054</v>
      </c>
      <c r="B42" s="55">
        <v>0</v>
      </c>
      <c r="C42" s="55">
        <v>0</v>
      </c>
      <c r="D42" s="55">
        <v>0</v>
      </c>
      <c r="E42" s="55">
        <v>0</v>
      </c>
      <c r="H42" s="189"/>
      <c r="I42" s="296"/>
    </row>
    <row r="43" spans="1:18" ht="14.25" customHeight="1">
      <c r="A43" s="289">
        <f>A25</f>
        <v>46082</v>
      </c>
      <c r="B43" s="55">
        <v>0</v>
      </c>
      <c r="C43" s="55">
        <v>0</v>
      </c>
      <c r="D43" s="55">
        <v>0</v>
      </c>
      <c r="E43" s="55">
        <v>0</v>
      </c>
      <c r="H43" s="189"/>
    </row>
    <row r="44" spans="1:18" ht="14.25" customHeight="1">
      <c r="A44" s="289">
        <f>A26</f>
        <v>46113</v>
      </c>
      <c r="B44" s="55">
        <v>0</v>
      </c>
      <c r="C44" s="55">
        <v>0</v>
      </c>
      <c r="D44" s="55">
        <v>0</v>
      </c>
      <c r="E44" s="55">
        <v>0</v>
      </c>
      <c r="H44" s="189"/>
    </row>
    <row r="45" spans="1:18" ht="14.25" customHeight="1">
      <c r="A45" s="289">
        <f>A27</f>
        <v>46143</v>
      </c>
      <c r="B45" s="55">
        <v>0</v>
      </c>
      <c r="C45" s="55">
        <v>0</v>
      </c>
      <c r="D45" s="55">
        <v>0</v>
      </c>
      <c r="E45" s="55">
        <v>0</v>
      </c>
      <c r="H45" s="189"/>
    </row>
    <row r="46" spans="1:18" ht="14.25" customHeight="1">
      <c r="A46" s="304">
        <f>A28</f>
        <v>46174</v>
      </c>
      <c r="B46" s="65">
        <v>0</v>
      </c>
      <c r="C46" s="65">
        <v>0</v>
      </c>
      <c r="D46" s="65">
        <v>0</v>
      </c>
      <c r="E46" s="65">
        <v>0</v>
      </c>
      <c r="H46" s="189"/>
    </row>
    <row r="47" spans="1:18" ht="14.25" customHeight="1">
      <c r="A47" s="32">
        <f>A29</f>
        <v>46204</v>
      </c>
      <c r="B47" s="55"/>
      <c r="C47" s="55"/>
      <c r="D47" s="55"/>
      <c r="E47" s="55"/>
      <c r="H47" s="189"/>
    </row>
    <row r="48" spans="1:18" ht="14.25" customHeight="1">
      <c r="A48" s="32">
        <f>A30</f>
        <v>46235</v>
      </c>
      <c r="B48" s="55"/>
      <c r="C48" s="55"/>
      <c r="D48" s="55"/>
      <c r="E48" s="55"/>
      <c r="H48" s="189"/>
    </row>
    <row r="49" spans="1:11" ht="14.25" customHeight="1">
      <c r="A49" s="32">
        <f>A31</f>
        <v>46266</v>
      </c>
      <c r="B49" s="55"/>
      <c r="C49" s="55"/>
      <c r="D49" s="55"/>
      <c r="E49" s="55"/>
      <c r="H49" s="296"/>
    </row>
    <row r="50" spans="1:11" ht="14.25" customHeight="1">
      <c r="A50" s="32">
        <f>A32</f>
        <v>46296</v>
      </c>
      <c r="B50" s="55"/>
      <c r="C50" s="55"/>
      <c r="D50" s="55"/>
      <c r="E50" s="55"/>
    </row>
    <row r="51" spans="1:11" ht="14.25" customHeight="1">
      <c r="A51" s="32">
        <f>A33</f>
        <v>46327</v>
      </c>
      <c r="B51" s="55"/>
      <c r="C51" s="55"/>
      <c r="D51" s="55"/>
      <c r="E51" s="55"/>
    </row>
    <row r="52" spans="1:11" ht="14.25" customHeight="1">
      <c r="A52" s="32">
        <f>A34</f>
        <v>46357</v>
      </c>
      <c r="B52" s="55"/>
      <c r="C52" s="55"/>
      <c r="D52" s="55"/>
      <c r="E52" s="55"/>
    </row>
    <row r="53" spans="1:11" ht="14.25" customHeight="1">
      <c r="A53" s="24" t="s">
        <v>20</v>
      </c>
      <c r="B53" s="305">
        <f>SUM(B41:B52)</f>
        <v>0</v>
      </c>
      <c r="C53" s="305">
        <f>SUM(C41:C52)</f>
        <v>0</v>
      </c>
      <c r="D53" s="306">
        <f>AVERAGE(D41:D52)</f>
        <v>0</v>
      </c>
      <c r="E53" s="306">
        <f>AVERAGE(E41:E52)</f>
        <v>0</v>
      </c>
    </row>
    <row r="55" spans="1:11" ht="14.25" customHeight="1">
      <c r="B55" s="63">
        <f>B53+C53</f>
        <v>0</v>
      </c>
      <c r="H55" s="63">
        <f>H37+B55</f>
        <v>4752539</v>
      </c>
      <c r="J55" s="68">
        <f>SUM(K35:R35)</f>
        <v>6.9999999999999979E-2</v>
      </c>
      <c r="K55" s="68">
        <f>SUM(D53:E53)</f>
        <v>0</v>
      </c>
    </row>
    <row r="56" spans="1:11" ht="14.25" customHeight="1">
      <c r="K56" s="68">
        <f>SUM(J55:K55)/10</f>
        <v>6.9999999999999975E-3</v>
      </c>
    </row>
  </sheetData>
  <mergeCells count="13">
    <mergeCell ref="A2:F2"/>
    <mergeCell ref="H2:I3"/>
    <mergeCell ref="A3:A4"/>
    <mergeCell ref="B3:C3"/>
    <mergeCell ref="D3:E3"/>
    <mergeCell ref="F3:F4"/>
    <mergeCell ref="A20:R20"/>
    <mergeCell ref="A21:J21"/>
    <mergeCell ref="K21:R21"/>
    <mergeCell ref="A38:E38"/>
    <mergeCell ref="A39:C39"/>
    <mergeCell ref="D39:E39"/>
    <mergeCell ref="H39:I39"/>
  </mergeCells>
  <pageMargins left="0.7" right="0.7" top="0.75" bottom="0.75" header="0.511811023622047" footer="0.511811023622047"/>
  <pageSetup paperSize="9" orientation="portrait" horizontalDpi="300" verticalDpi="30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W83"/>
  <sheetViews>
    <sheetView zoomScaleNormal="100" workbookViewId="0"/>
  </sheetViews>
  <sheetFormatPr defaultColWidth="8.7109375" defaultRowHeight="15"/>
  <cols>
    <col min="1" max="1" width="15.140625" customWidth="1"/>
    <col min="2" max="2" width="16" customWidth="1"/>
    <col min="3" max="3" width="6.5703125" customWidth="1"/>
    <col min="4" max="4" width="16.28515625" customWidth="1"/>
    <col min="5" max="5" width="4.28515625" customWidth="1"/>
    <col min="6" max="6" width="6.42578125" customWidth="1"/>
    <col min="7" max="7" width="3.5703125" customWidth="1"/>
    <col min="10" max="10" width="15.140625" customWidth="1"/>
    <col min="11" max="11" width="15.42578125" customWidth="1"/>
    <col min="12" max="12" width="10.28515625" customWidth="1"/>
    <col min="13" max="13" width="12.42578125" customWidth="1"/>
    <col min="17" max="17" width="5" customWidth="1"/>
  </cols>
  <sheetData>
    <row r="1" spans="1:23" ht="14.25" customHeight="1">
      <c r="A1" s="588" t="s">
        <v>224</v>
      </c>
      <c r="B1" s="588"/>
      <c r="C1" s="588"/>
      <c r="D1" s="588"/>
      <c r="E1" s="588"/>
      <c r="F1" s="588"/>
      <c r="G1" s="588"/>
      <c r="H1" s="588"/>
      <c r="I1" s="588"/>
      <c r="J1" s="574" t="s">
        <v>225</v>
      </c>
      <c r="K1" s="574"/>
      <c r="L1" s="574"/>
      <c r="M1" s="574"/>
      <c r="N1" s="574"/>
      <c r="O1" s="574"/>
      <c r="P1" s="574"/>
      <c r="Q1" s="574"/>
      <c r="R1" s="574"/>
    </row>
    <row r="3" spans="1:23" ht="14.25" customHeight="1">
      <c r="A3" s="589" t="s">
        <v>226</v>
      </c>
      <c r="B3" s="589"/>
      <c r="C3" s="589"/>
      <c r="D3" s="589"/>
      <c r="E3" s="85"/>
      <c r="F3" s="85"/>
      <c r="G3" s="85"/>
      <c r="J3" s="590" t="s">
        <v>73</v>
      </c>
      <c r="K3" s="590"/>
      <c r="L3" s="590"/>
      <c r="M3" s="85"/>
      <c r="N3" s="85"/>
      <c r="O3" s="85"/>
      <c r="P3" s="85"/>
      <c r="Q3" s="85"/>
      <c r="R3" s="85"/>
    </row>
    <row r="4" spans="1:23" ht="14.25" customHeight="1">
      <c r="A4" s="307" t="s">
        <v>11</v>
      </c>
      <c r="B4" s="85" t="s">
        <v>101</v>
      </c>
      <c r="C4" s="85"/>
      <c r="D4" s="308"/>
      <c r="E4" s="85"/>
      <c r="F4" s="85"/>
      <c r="G4" s="85"/>
      <c r="J4" s="309" t="s">
        <v>11</v>
      </c>
      <c r="K4" s="310" t="s">
        <v>227</v>
      </c>
      <c r="L4" s="311"/>
    </row>
    <row r="5" spans="1:23" ht="14.25" customHeight="1">
      <c r="A5" s="312" t="s">
        <v>35</v>
      </c>
      <c r="B5" s="85" t="s">
        <v>228</v>
      </c>
      <c r="C5" s="85"/>
      <c r="D5" s="308"/>
      <c r="E5" s="85"/>
      <c r="F5" s="85"/>
      <c r="G5" s="85"/>
      <c r="J5" s="313" t="s">
        <v>35</v>
      </c>
      <c r="K5" s="314" t="s">
        <v>229</v>
      </c>
      <c r="L5" s="315"/>
      <c r="M5" s="85"/>
      <c r="N5" s="85"/>
      <c r="O5" s="85"/>
      <c r="P5" s="85"/>
      <c r="Q5" s="85"/>
      <c r="R5" s="85"/>
    </row>
    <row r="6" spans="1:23" ht="14.25" customHeight="1">
      <c r="A6" s="312" t="s">
        <v>14</v>
      </c>
      <c r="B6" s="85" t="s">
        <v>230</v>
      </c>
      <c r="C6" s="85"/>
      <c r="D6" s="308"/>
      <c r="E6" s="85"/>
      <c r="F6" s="85"/>
      <c r="G6" s="85"/>
      <c r="J6" s="313" t="s">
        <v>14</v>
      </c>
      <c r="K6" s="314" t="s">
        <v>231</v>
      </c>
      <c r="L6" s="315"/>
      <c r="M6" s="85"/>
      <c r="N6" s="85"/>
      <c r="O6" s="85"/>
      <c r="P6" s="85"/>
      <c r="Q6" s="85"/>
      <c r="R6" s="85"/>
    </row>
    <row r="7" spans="1:23" ht="14.25" customHeight="1">
      <c r="A7" s="312" t="s">
        <v>16</v>
      </c>
      <c r="B7" s="85" t="s">
        <v>104</v>
      </c>
      <c r="C7" s="85"/>
      <c r="D7" s="308"/>
      <c r="E7" s="85"/>
      <c r="F7" s="85"/>
      <c r="G7" s="85"/>
      <c r="J7" s="313" t="s">
        <v>16</v>
      </c>
      <c r="K7" s="314" t="s">
        <v>232</v>
      </c>
      <c r="L7" s="315"/>
      <c r="M7" s="85"/>
      <c r="N7" s="85"/>
      <c r="O7" s="85"/>
      <c r="P7" s="85"/>
      <c r="Q7" s="85"/>
      <c r="R7" s="85"/>
    </row>
    <row r="8" spans="1:23" ht="14.25" customHeight="1">
      <c r="A8" s="312" t="s">
        <v>15</v>
      </c>
      <c r="B8" s="85" t="s">
        <v>105</v>
      </c>
      <c r="C8" s="85"/>
      <c r="D8" s="308"/>
      <c r="E8" s="85"/>
      <c r="F8" s="85"/>
      <c r="G8" s="85"/>
      <c r="J8" s="313" t="s">
        <v>15</v>
      </c>
      <c r="K8" s="314" t="s">
        <v>233</v>
      </c>
      <c r="L8" s="315"/>
      <c r="M8" s="85"/>
      <c r="N8" s="85"/>
      <c r="O8" s="85"/>
      <c r="P8" s="85"/>
      <c r="Q8" s="85"/>
      <c r="R8" s="85"/>
    </row>
    <row r="9" spans="1:23" ht="14.25" customHeight="1">
      <c r="A9" s="316" t="s">
        <v>17</v>
      </c>
      <c r="B9" s="317" t="s">
        <v>106</v>
      </c>
      <c r="C9" s="317"/>
      <c r="D9" s="318"/>
      <c r="E9" s="85"/>
      <c r="F9" s="85"/>
      <c r="G9" s="85"/>
      <c r="J9" s="319" t="s">
        <v>17</v>
      </c>
      <c r="K9" s="320" t="s">
        <v>234</v>
      </c>
      <c r="L9" s="321"/>
      <c r="M9" s="85"/>
      <c r="N9" s="85"/>
      <c r="O9" s="85"/>
      <c r="P9" s="85"/>
      <c r="Q9" s="85"/>
      <c r="R9" s="85"/>
    </row>
    <row r="10" spans="1:23" ht="14.25" customHeight="1">
      <c r="A10" s="316" t="s">
        <v>18</v>
      </c>
      <c r="B10" s="317" t="s">
        <v>235</v>
      </c>
      <c r="C10" s="317" t="s">
        <v>236</v>
      </c>
      <c r="D10" s="318"/>
      <c r="E10" s="85"/>
      <c r="F10" s="85"/>
      <c r="G10" s="85"/>
      <c r="J10" s="316" t="s">
        <v>18</v>
      </c>
      <c r="K10" s="320" t="s">
        <v>237</v>
      </c>
      <c r="L10" s="321" t="s">
        <v>236</v>
      </c>
      <c r="M10" s="85"/>
      <c r="N10" s="85"/>
      <c r="O10" s="85"/>
      <c r="P10" s="85"/>
      <c r="Q10" s="85"/>
    </row>
    <row r="11" spans="1:23" ht="14.25" customHeight="1">
      <c r="M11" s="85"/>
      <c r="N11" s="85"/>
      <c r="O11" s="85"/>
      <c r="P11" s="85"/>
      <c r="Q11" s="85"/>
      <c r="R11" s="85"/>
    </row>
    <row r="12" spans="1:23" ht="14.25" customHeight="1">
      <c r="A12" s="322" t="s">
        <v>107</v>
      </c>
      <c r="B12" s="323">
        <f>Aguirre!F10</f>
        <v>11128871.039999999</v>
      </c>
      <c r="C12" s="311" t="s">
        <v>83</v>
      </c>
      <c r="D12" s="85"/>
      <c r="E12" s="85"/>
      <c r="F12" s="85"/>
      <c r="G12" s="85"/>
      <c r="J12" s="324" t="s">
        <v>82</v>
      </c>
      <c r="K12" s="325">
        <f>SUM(Aguirre!B28:F28,Aguirre!H28:J28,Aguirre!B46:C46)</f>
        <v>4752539</v>
      </c>
      <c r="L12" s="311" t="s">
        <v>83</v>
      </c>
      <c r="V12">
        <f>323412*2204.6/28478821</f>
        <v>25.035941452772921</v>
      </c>
      <c r="W12" t="s">
        <v>123</v>
      </c>
    </row>
    <row r="13" spans="1:23" ht="14.25" customHeight="1">
      <c r="A13" s="320" t="s">
        <v>84</v>
      </c>
      <c r="B13" s="326">
        <f>AVERAGE(Aguirre!H10:I10)</f>
        <v>0.47</v>
      </c>
      <c r="C13" s="321"/>
      <c r="D13" s="85"/>
      <c r="E13" s="85"/>
      <c r="F13" s="85"/>
      <c r="G13" s="85"/>
      <c r="J13" s="327" t="s">
        <v>84</v>
      </c>
      <c r="K13" s="328">
        <f>AVERAGE(Aguirre!K28:R28,Aguirre!D46:E46)</f>
        <v>8.0000000000000002E-3</v>
      </c>
      <c r="L13" s="321"/>
      <c r="M13" s="85"/>
      <c r="N13" s="85"/>
      <c r="O13" s="85"/>
      <c r="P13" s="85"/>
      <c r="Q13" s="85"/>
      <c r="R13" s="85"/>
      <c r="V13">
        <f>(73.96+0.003*26+0.0006*298)*2.2046*0.138</f>
        <v>22.579333304640002</v>
      </c>
      <c r="W13" t="s">
        <v>123</v>
      </c>
    </row>
    <row r="14" spans="1:23" ht="14.25" customHeight="1">
      <c r="M14" s="85"/>
      <c r="N14" s="85"/>
      <c r="O14" s="85"/>
      <c r="P14" s="85"/>
      <c r="Q14" s="85"/>
      <c r="R14" s="85"/>
    </row>
    <row r="16" spans="1:23" ht="14.25" customHeight="1">
      <c r="A16" s="85" t="s">
        <v>85</v>
      </c>
      <c r="B16" s="85"/>
      <c r="C16" s="85"/>
      <c r="D16" s="85"/>
      <c r="E16" s="85"/>
      <c r="F16" s="85"/>
      <c r="G16" s="85"/>
      <c r="J16" s="85" t="s">
        <v>85</v>
      </c>
      <c r="K16" s="85"/>
      <c r="L16" s="85"/>
      <c r="M16" s="85"/>
      <c r="N16" s="85"/>
      <c r="O16" s="85"/>
      <c r="P16" s="85"/>
      <c r="Q16" s="85"/>
      <c r="R16" s="85"/>
    </row>
    <row r="18" spans="1:18" ht="14.25" customHeight="1">
      <c r="A18" s="108" t="s">
        <v>86</v>
      </c>
      <c r="B18" s="109">
        <f>(9.19*B13)+3.22</f>
        <v>7.539299999999999</v>
      </c>
      <c r="C18" s="110" t="s">
        <v>87</v>
      </c>
      <c r="D18" s="111">
        <f>B12</f>
        <v>11128871.039999999</v>
      </c>
      <c r="E18" s="110" t="s">
        <v>88</v>
      </c>
      <c r="F18" s="575" t="s">
        <v>90</v>
      </c>
      <c r="G18" s="575"/>
      <c r="J18" s="108" t="s">
        <v>86</v>
      </c>
      <c r="K18" s="112">
        <v>1.2E-2</v>
      </c>
      <c r="L18" s="110" t="s">
        <v>87</v>
      </c>
      <c r="M18" s="111">
        <f>K12</f>
        <v>4752539</v>
      </c>
      <c r="N18" s="110" t="s">
        <v>88</v>
      </c>
      <c r="O18" s="112">
        <v>0.13800000000000001</v>
      </c>
      <c r="P18" s="110" t="s">
        <v>89</v>
      </c>
      <c r="Q18" s="112" t="s">
        <v>90</v>
      </c>
      <c r="R18" s="229"/>
    </row>
    <row r="19" spans="1:18" ht="14.25" customHeight="1">
      <c r="A19" s="85"/>
      <c r="B19" s="113">
        <v>1000</v>
      </c>
      <c r="C19" s="107" t="s">
        <v>88</v>
      </c>
      <c r="D19" s="576" t="s">
        <v>59</v>
      </c>
      <c r="E19" s="576"/>
      <c r="F19" s="113">
        <v>2000</v>
      </c>
      <c r="G19" s="107" t="s">
        <v>87</v>
      </c>
      <c r="J19" s="85"/>
      <c r="K19" s="113" t="s">
        <v>89</v>
      </c>
      <c r="L19" s="107"/>
      <c r="M19" s="113" t="s">
        <v>59</v>
      </c>
      <c r="N19" s="107"/>
      <c r="O19" s="113" t="s">
        <v>88</v>
      </c>
      <c r="P19" s="107"/>
      <c r="Q19" s="113">
        <v>2000</v>
      </c>
      <c r="R19" s="329" t="s">
        <v>87</v>
      </c>
    </row>
    <row r="22" spans="1:18" ht="14.25" customHeight="1">
      <c r="A22" s="108" t="s">
        <v>86</v>
      </c>
      <c r="B22" s="123">
        <f>((B18/B19)*D18)/F19</f>
        <v>41.951948715935991</v>
      </c>
      <c r="C22" s="115" t="s">
        <v>90</v>
      </c>
      <c r="D22" s="85"/>
      <c r="E22" s="85"/>
      <c r="F22" s="85"/>
      <c r="G22" s="85"/>
      <c r="J22" s="108" t="s">
        <v>86</v>
      </c>
      <c r="K22" s="123">
        <f>((K18*M18*O18)/Q19)</f>
        <v>3.9351022920000003</v>
      </c>
      <c r="L22" s="115" t="s">
        <v>90</v>
      </c>
      <c r="M22" s="85"/>
      <c r="N22" s="85"/>
      <c r="O22" s="105"/>
      <c r="P22" s="85"/>
      <c r="Q22" s="85"/>
      <c r="R22" s="85"/>
    </row>
    <row r="23" spans="1:18" ht="14.25" customHeight="1">
      <c r="A23" s="85"/>
      <c r="B23" s="85"/>
      <c r="C23" s="118" t="s">
        <v>59</v>
      </c>
      <c r="D23" s="85"/>
      <c r="E23" s="85"/>
      <c r="F23" s="85"/>
      <c r="G23" s="85"/>
      <c r="J23" s="85"/>
      <c r="K23" s="85"/>
      <c r="L23" s="118" t="s">
        <v>59</v>
      </c>
      <c r="M23" s="85"/>
      <c r="N23" s="85"/>
      <c r="O23" s="85"/>
      <c r="P23" s="85"/>
      <c r="Q23" s="85"/>
      <c r="R23" s="85"/>
    </row>
    <row r="26" spans="1:18" ht="14.25" customHeight="1">
      <c r="A26" s="85" t="s">
        <v>93</v>
      </c>
      <c r="B26" s="85"/>
      <c r="C26" s="85"/>
      <c r="D26" s="85"/>
      <c r="E26" s="85"/>
      <c r="F26" s="85"/>
      <c r="G26" s="85"/>
      <c r="J26" s="85" t="s">
        <v>93</v>
      </c>
      <c r="K26" s="85"/>
      <c r="L26" s="85"/>
      <c r="M26" s="85"/>
      <c r="N26" s="85"/>
      <c r="O26" s="85"/>
      <c r="P26" s="85"/>
      <c r="Q26" s="85"/>
      <c r="R26" s="85"/>
    </row>
    <row r="27" spans="1:18" ht="14.25" customHeight="1">
      <c r="B27" s="330"/>
    </row>
    <row r="28" spans="1:18" ht="14.25" customHeight="1">
      <c r="A28" s="108" t="s">
        <v>86</v>
      </c>
      <c r="B28" s="119">
        <f>157*B13</f>
        <v>73.789999999999992</v>
      </c>
      <c r="C28" s="110" t="s">
        <v>87</v>
      </c>
      <c r="D28" s="111">
        <f>B12</f>
        <v>11128871.039999999</v>
      </c>
      <c r="E28" s="110" t="s">
        <v>88</v>
      </c>
      <c r="F28" s="575" t="s">
        <v>90</v>
      </c>
      <c r="G28" s="575"/>
      <c r="J28" s="108" t="s">
        <v>86</v>
      </c>
      <c r="K28" s="109">
        <f>1.01*K13</f>
        <v>8.0800000000000004E-3</v>
      </c>
      <c r="L28" s="110" t="s">
        <v>87</v>
      </c>
      <c r="M28" s="111">
        <f>K12</f>
        <v>4752539</v>
      </c>
      <c r="N28" s="110" t="s">
        <v>88</v>
      </c>
      <c r="O28" s="112">
        <v>0.13800000000000001</v>
      </c>
      <c r="P28" s="110" t="s">
        <v>89</v>
      </c>
      <c r="Q28" s="112" t="s">
        <v>90</v>
      </c>
      <c r="R28" s="229"/>
    </row>
    <row r="29" spans="1:18" ht="14.25" customHeight="1">
      <c r="A29" s="85"/>
      <c r="B29" s="113">
        <v>1000</v>
      </c>
      <c r="C29" s="107" t="s">
        <v>88</v>
      </c>
      <c r="D29" s="576" t="s">
        <v>59</v>
      </c>
      <c r="E29" s="576"/>
      <c r="F29" s="113">
        <v>2000</v>
      </c>
      <c r="G29" s="107" t="s">
        <v>87</v>
      </c>
      <c r="J29" s="85"/>
      <c r="K29" s="113" t="s">
        <v>89</v>
      </c>
      <c r="L29" s="107"/>
      <c r="M29" s="113" t="s">
        <v>59</v>
      </c>
      <c r="N29" s="107"/>
      <c r="O29" s="113" t="s">
        <v>88</v>
      </c>
      <c r="P29" s="107"/>
      <c r="Q29" s="113">
        <v>2000</v>
      </c>
      <c r="R29" s="329" t="s">
        <v>87</v>
      </c>
    </row>
    <row r="32" spans="1:18" ht="14.25" customHeight="1">
      <c r="A32" s="108" t="s">
        <v>86</v>
      </c>
      <c r="B32" s="123">
        <f>((B28/B29)*D28)/F29</f>
        <v>410.59969702079991</v>
      </c>
      <c r="C32" s="115" t="s">
        <v>90</v>
      </c>
      <c r="D32" s="85"/>
      <c r="E32" s="85"/>
      <c r="F32" s="85"/>
      <c r="G32" s="85"/>
      <c r="J32" s="108" t="s">
        <v>86</v>
      </c>
      <c r="K32" s="123">
        <f>((K28*M28*O28)/Q29)</f>
        <v>2.6496355432800005</v>
      </c>
      <c r="L32" s="115" t="s">
        <v>90</v>
      </c>
      <c r="M32" s="85"/>
      <c r="N32" s="85"/>
      <c r="O32" s="85"/>
      <c r="P32" s="85"/>
      <c r="Q32" s="85"/>
      <c r="R32" s="85"/>
    </row>
    <row r="33" spans="1:18" ht="14.25" customHeight="1">
      <c r="A33" s="85"/>
      <c r="B33" s="85"/>
      <c r="C33" s="118" t="s">
        <v>59</v>
      </c>
      <c r="D33" s="85"/>
      <c r="E33" s="85"/>
      <c r="F33" s="85"/>
      <c r="G33" s="85"/>
      <c r="J33" s="85"/>
      <c r="K33" s="85"/>
      <c r="L33" s="118" t="s">
        <v>59</v>
      </c>
      <c r="M33" s="85"/>
      <c r="N33" s="85"/>
      <c r="O33" s="85"/>
      <c r="P33" s="85"/>
      <c r="Q33" s="85"/>
      <c r="R33" s="85"/>
    </row>
    <row r="36" spans="1:18" ht="14.25" customHeight="1">
      <c r="A36" s="85" t="s">
        <v>94</v>
      </c>
      <c r="B36" s="85"/>
      <c r="C36" s="85"/>
      <c r="D36" s="85"/>
      <c r="E36" s="85"/>
      <c r="F36" s="85"/>
      <c r="G36" s="85"/>
      <c r="J36" s="85" t="s">
        <v>94</v>
      </c>
      <c r="K36" s="85"/>
      <c r="L36" s="85"/>
      <c r="M36" s="85"/>
      <c r="N36" s="85"/>
      <c r="O36" s="85"/>
      <c r="P36" s="85"/>
      <c r="Q36" s="85"/>
      <c r="R36" s="85"/>
    </row>
    <row r="38" spans="1:18" ht="14.25" customHeight="1">
      <c r="A38" s="108" t="s">
        <v>86</v>
      </c>
      <c r="B38" s="234">
        <v>0.33</v>
      </c>
      <c r="C38" s="110" t="s">
        <v>87</v>
      </c>
      <c r="D38" s="111">
        <f>B12</f>
        <v>11128871.039999999</v>
      </c>
      <c r="E38" s="110" t="s">
        <v>88</v>
      </c>
      <c r="F38" s="575" t="s">
        <v>238</v>
      </c>
      <c r="G38" s="575"/>
      <c r="H38" s="575" t="s">
        <v>90</v>
      </c>
      <c r="I38" s="575"/>
      <c r="J38" s="108" t="s">
        <v>86</v>
      </c>
      <c r="K38" s="112">
        <v>0.88</v>
      </c>
      <c r="L38" s="110" t="s">
        <v>87</v>
      </c>
      <c r="M38" s="111">
        <f>K12</f>
        <v>4752539</v>
      </c>
      <c r="N38" s="110" t="s">
        <v>88</v>
      </c>
      <c r="O38" s="112">
        <v>0.13800000000000001</v>
      </c>
      <c r="P38" s="110" t="s">
        <v>89</v>
      </c>
      <c r="Q38" s="112" t="s">
        <v>90</v>
      </c>
      <c r="R38" s="229"/>
    </row>
    <row r="39" spans="1:18" ht="14.25" customHeight="1">
      <c r="A39" s="85"/>
      <c r="B39" s="113"/>
      <c r="C39" s="107" t="s">
        <v>140</v>
      </c>
      <c r="D39" s="576" t="s">
        <v>59</v>
      </c>
      <c r="E39" s="576"/>
      <c r="F39" s="113" t="s">
        <v>88</v>
      </c>
      <c r="G39" s="107"/>
      <c r="H39" s="113">
        <v>2000</v>
      </c>
      <c r="I39" s="107" t="s">
        <v>87</v>
      </c>
      <c r="J39" s="85"/>
      <c r="K39" s="113" t="s">
        <v>89</v>
      </c>
      <c r="L39" s="107"/>
      <c r="M39" s="113" t="s">
        <v>59</v>
      </c>
      <c r="N39" s="107"/>
      <c r="O39" s="113" t="s">
        <v>88</v>
      </c>
      <c r="P39" s="107"/>
      <c r="Q39" s="113">
        <v>2000</v>
      </c>
      <c r="R39" s="329" t="s">
        <v>87</v>
      </c>
    </row>
    <row r="42" spans="1:18" ht="14.25" customHeight="1">
      <c r="A42" s="108" t="s">
        <v>86</v>
      </c>
      <c r="B42" s="123">
        <f>B38*D38*0.15/2000</f>
        <v>275.43955824</v>
      </c>
      <c r="C42" s="115" t="s">
        <v>90</v>
      </c>
      <c r="D42" s="85"/>
      <c r="E42" s="85"/>
      <c r="F42" s="85"/>
      <c r="G42" s="85"/>
      <c r="J42" s="108" t="s">
        <v>86</v>
      </c>
      <c r="K42" s="123">
        <f>((K38*M38*O38)/Q39)</f>
        <v>288.57416808000005</v>
      </c>
      <c r="L42" s="115" t="s">
        <v>90</v>
      </c>
      <c r="M42" s="85"/>
      <c r="N42" s="85"/>
      <c r="O42" s="85"/>
      <c r="P42" s="85"/>
      <c r="Q42" s="85"/>
      <c r="R42" s="85"/>
    </row>
    <row r="43" spans="1:18" ht="14.25" customHeight="1">
      <c r="A43" s="85"/>
      <c r="B43" s="85"/>
      <c r="C43" s="118" t="s">
        <v>59</v>
      </c>
      <c r="D43" s="85"/>
      <c r="E43" s="85"/>
      <c r="F43" s="85"/>
      <c r="G43" s="85"/>
      <c r="J43" s="85"/>
      <c r="K43" s="85"/>
      <c r="L43" s="118" t="s">
        <v>59</v>
      </c>
      <c r="M43" s="85"/>
      <c r="N43" s="85"/>
      <c r="O43" s="85"/>
      <c r="P43" s="85"/>
      <c r="Q43" s="85"/>
      <c r="R43" s="85"/>
    </row>
    <row r="44" spans="1:18" ht="14.25" customHeight="1">
      <c r="A44" s="85"/>
      <c r="B44" s="85"/>
      <c r="C44" s="118"/>
      <c r="D44" s="85"/>
      <c r="E44" s="85"/>
      <c r="F44" s="85"/>
      <c r="G44" s="85"/>
      <c r="J44" s="85"/>
      <c r="K44" s="85"/>
      <c r="L44" s="118"/>
      <c r="M44" s="85"/>
      <c r="N44" s="85"/>
      <c r="O44" s="85"/>
      <c r="P44" s="85"/>
      <c r="Q44" s="85"/>
      <c r="R44" s="85"/>
    </row>
    <row r="45" spans="1:18" ht="14.25" customHeight="1">
      <c r="A45" s="85"/>
      <c r="B45" s="85"/>
      <c r="C45" s="118"/>
      <c r="D45" s="85"/>
      <c r="E45" s="85"/>
      <c r="F45" s="85"/>
      <c r="G45" s="85"/>
      <c r="J45" s="85"/>
      <c r="K45" s="85"/>
      <c r="L45" s="118"/>
      <c r="M45" s="85"/>
      <c r="N45" s="85"/>
      <c r="O45" s="85"/>
      <c r="P45" s="85"/>
      <c r="Q45" s="85"/>
      <c r="R45" s="85"/>
    </row>
    <row r="46" spans="1:18" ht="14.25" customHeight="1">
      <c r="A46" s="85" t="s">
        <v>95</v>
      </c>
      <c r="B46" s="85"/>
      <c r="C46" s="85"/>
      <c r="D46" s="85"/>
      <c r="E46" s="85"/>
      <c r="F46" s="85"/>
      <c r="G46" s="85"/>
      <c r="J46" s="85" t="s">
        <v>95</v>
      </c>
      <c r="K46" s="85"/>
      <c r="L46" s="85"/>
      <c r="M46" s="85"/>
      <c r="N46" s="85"/>
      <c r="O46" s="85"/>
      <c r="P46" s="85"/>
      <c r="Q46" s="85"/>
      <c r="R46" s="85"/>
    </row>
    <row r="48" spans="1:18" ht="14.25" customHeight="1">
      <c r="A48" s="108" t="s">
        <v>86</v>
      </c>
      <c r="B48" s="112">
        <v>0.76</v>
      </c>
      <c r="C48" s="110" t="s">
        <v>87</v>
      </c>
      <c r="D48" s="111">
        <f>B12</f>
        <v>11128871.039999999</v>
      </c>
      <c r="E48" s="110" t="s">
        <v>88</v>
      </c>
      <c r="F48" s="575" t="s">
        <v>90</v>
      </c>
      <c r="G48" s="575"/>
      <c r="J48" s="108" t="s">
        <v>86</v>
      </c>
      <c r="K48" s="112">
        <v>4.0999999999999999E-4</v>
      </c>
      <c r="L48" s="110" t="s">
        <v>87</v>
      </c>
      <c r="M48" s="111">
        <f>K12</f>
        <v>4752539</v>
      </c>
      <c r="N48" s="110" t="s">
        <v>88</v>
      </c>
      <c r="O48" s="112">
        <v>0.13800000000000001</v>
      </c>
      <c r="P48" s="110" t="s">
        <v>89</v>
      </c>
      <c r="Q48" s="112" t="s">
        <v>90</v>
      </c>
      <c r="R48" s="229"/>
    </row>
    <row r="49" spans="1:18" ht="14.25" customHeight="1">
      <c r="A49" s="85"/>
      <c r="B49" s="113">
        <v>1000</v>
      </c>
      <c r="C49" s="107" t="s">
        <v>88</v>
      </c>
      <c r="D49" s="576" t="s">
        <v>59</v>
      </c>
      <c r="E49" s="576"/>
      <c r="F49" s="113">
        <v>2000</v>
      </c>
      <c r="G49" s="107" t="s">
        <v>87</v>
      </c>
      <c r="J49" s="85"/>
      <c r="K49" s="113" t="s">
        <v>89</v>
      </c>
      <c r="L49" s="107"/>
      <c r="M49" s="113" t="s">
        <v>59</v>
      </c>
      <c r="N49" s="107"/>
      <c r="O49" s="113" t="s">
        <v>88</v>
      </c>
      <c r="P49" s="107"/>
      <c r="Q49" s="113">
        <v>2000</v>
      </c>
      <c r="R49" s="329" t="s">
        <v>87</v>
      </c>
    </row>
    <row r="52" spans="1:18" ht="14.25" customHeight="1">
      <c r="A52" s="108" t="s">
        <v>86</v>
      </c>
      <c r="B52" s="123">
        <f>((B48/B49)*D48)/F49</f>
        <v>4.2289709952000001</v>
      </c>
      <c r="C52" s="115" t="s">
        <v>90</v>
      </c>
      <c r="D52" s="85"/>
      <c r="E52" s="85"/>
      <c r="F52" s="85"/>
      <c r="G52" s="85"/>
      <c r="J52" s="108" t="s">
        <v>86</v>
      </c>
      <c r="K52" s="123">
        <f>((K48*M48*O48)/Q49)</f>
        <v>0.13444932831</v>
      </c>
      <c r="L52" s="115" t="s">
        <v>90</v>
      </c>
      <c r="M52" s="85"/>
      <c r="N52" s="85"/>
      <c r="O52" s="85"/>
      <c r="P52" s="85"/>
      <c r="Q52" s="85"/>
      <c r="R52" s="85"/>
    </row>
    <row r="53" spans="1:18" ht="14.25" customHeight="1">
      <c r="A53" s="85"/>
      <c r="B53" s="85"/>
      <c r="C53" s="118" t="s">
        <v>59</v>
      </c>
      <c r="D53" s="85"/>
      <c r="E53" s="85"/>
      <c r="F53" s="85"/>
      <c r="G53" s="85"/>
      <c r="J53" s="85"/>
      <c r="K53" s="85"/>
      <c r="L53" s="118" t="s">
        <v>59</v>
      </c>
      <c r="M53" s="85"/>
      <c r="N53" s="85"/>
      <c r="O53" s="85"/>
      <c r="P53" s="85"/>
      <c r="Q53" s="85"/>
      <c r="R53" s="85"/>
    </row>
    <row r="56" spans="1:18" ht="14.25" customHeight="1">
      <c r="A56" s="85" t="s">
        <v>96</v>
      </c>
      <c r="B56" s="85"/>
      <c r="C56" s="85"/>
      <c r="D56" s="85"/>
      <c r="E56" s="85"/>
      <c r="F56" s="85"/>
      <c r="G56" s="85"/>
      <c r="J56" s="85" t="s">
        <v>96</v>
      </c>
      <c r="K56" s="85"/>
      <c r="L56" s="85"/>
      <c r="M56" s="85"/>
      <c r="N56" s="85"/>
      <c r="O56" s="85"/>
      <c r="P56" s="85"/>
      <c r="Q56" s="85"/>
      <c r="R56" s="85"/>
    </row>
    <row r="58" spans="1:18" ht="14.25" customHeight="1">
      <c r="A58" s="108" t="s">
        <v>86</v>
      </c>
      <c r="B58" s="112">
        <v>5</v>
      </c>
      <c r="C58" s="110" t="s">
        <v>87</v>
      </c>
      <c r="D58" s="111">
        <f>B12</f>
        <v>11128871.039999999</v>
      </c>
      <c r="E58" s="110" t="s">
        <v>88</v>
      </c>
      <c r="F58" s="575" t="s">
        <v>90</v>
      </c>
      <c r="G58" s="575"/>
      <c r="J58" s="108" t="s">
        <v>86</v>
      </c>
      <c r="K58" s="112">
        <v>3.3E-3</v>
      </c>
      <c r="L58" s="110" t="s">
        <v>87</v>
      </c>
      <c r="M58" s="111">
        <f>K12</f>
        <v>4752539</v>
      </c>
      <c r="N58" s="110" t="s">
        <v>88</v>
      </c>
      <c r="O58" s="112">
        <v>0.13800000000000001</v>
      </c>
      <c r="P58" s="110" t="s">
        <v>89</v>
      </c>
      <c r="Q58" s="112" t="s">
        <v>90</v>
      </c>
      <c r="R58" s="229"/>
    </row>
    <row r="59" spans="1:18" ht="14.25" customHeight="1">
      <c r="A59" s="85"/>
      <c r="B59" s="113">
        <v>1000</v>
      </c>
      <c r="C59" s="107" t="s">
        <v>88</v>
      </c>
      <c r="D59" s="576" t="s">
        <v>59</v>
      </c>
      <c r="E59" s="576"/>
      <c r="F59" s="113">
        <v>2000</v>
      </c>
      <c r="G59" s="107" t="s">
        <v>87</v>
      </c>
      <c r="J59" s="85"/>
      <c r="K59" s="113" t="s">
        <v>89</v>
      </c>
      <c r="L59" s="107"/>
      <c r="M59" s="113" t="s">
        <v>59</v>
      </c>
      <c r="N59" s="107"/>
      <c r="O59" s="113" t="s">
        <v>88</v>
      </c>
      <c r="P59" s="107"/>
      <c r="Q59" s="113">
        <v>2000</v>
      </c>
      <c r="R59" s="329" t="s">
        <v>87</v>
      </c>
    </row>
    <row r="62" spans="1:18" ht="14.25" customHeight="1">
      <c r="A62" s="108" t="s">
        <v>86</v>
      </c>
      <c r="B62" s="123">
        <f>((B58/B59)*D58)/F59</f>
        <v>27.8221776</v>
      </c>
      <c r="C62" s="115" t="s">
        <v>90</v>
      </c>
      <c r="D62" s="85"/>
      <c r="E62" s="85"/>
      <c r="F62" s="85"/>
      <c r="G62" s="85"/>
      <c r="J62" s="108" t="s">
        <v>86</v>
      </c>
      <c r="K62" s="123">
        <f>((K58*M58*O58)/Q59)</f>
        <v>1.0821531302999998</v>
      </c>
      <c r="L62" s="115" t="s">
        <v>90</v>
      </c>
      <c r="M62" s="85"/>
      <c r="N62" s="85"/>
      <c r="O62" s="85"/>
      <c r="P62" s="85"/>
      <c r="Q62" s="85"/>
      <c r="R62" s="85"/>
    </row>
    <row r="63" spans="1:18" ht="14.25" customHeight="1">
      <c r="A63" s="85"/>
      <c r="B63" s="85"/>
      <c r="C63" s="118" t="s">
        <v>59</v>
      </c>
      <c r="D63" s="85"/>
      <c r="E63" s="85"/>
      <c r="F63" s="85"/>
      <c r="G63" s="85"/>
      <c r="J63" s="85"/>
      <c r="K63" s="85"/>
      <c r="L63" s="118" t="s">
        <v>59</v>
      </c>
      <c r="M63" s="85"/>
      <c r="N63" s="85"/>
      <c r="O63" s="85"/>
      <c r="P63" s="85"/>
      <c r="Q63" s="85"/>
      <c r="R63" s="85"/>
    </row>
    <row r="66" spans="1:18" ht="14.25" customHeight="1">
      <c r="A66" s="85" t="s">
        <v>97</v>
      </c>
      <c r="B66" s="85"/>
      <c r="C66" s="85"/>
      <c r="D66" s="85"/>
      <c r="E66" s="85"/>
      <c r="F66" s="85"/>
      <c r="G66" s="85"/>
      <c r="J66" s="85" t="s">
        <v>97</v>
      </c>
      <c r="K66" s="85"/>
      <c r="L66" s="85"/>
      <c r="M66" s="85"/>
      <c r="N66" s="85"/>
      <c r="O66" s="85"/>
      <c r="P66" s="85"/>
      <c r="Q66" s="85"/>
      <c r="R66" s="85"/>
    </row>
    <row r="68" spans="1:18" ht="14.25" customHeight="1">
      <c r="A68" s="108" t="s">
        <v>86</v>
      </c>
      <c r="B68" s="112">
        <v>1.5100000000000001E-3</v>
      </c>
      <c r="C68" s="110" t="s">
        <v>87</v>
      </c>
      <c r="D68" s="111">
        <f>B12</f>
        <v>11128871.039999999</v>
      </c>
      <c r="E68" s="110" t="s">
        <v>88</v>
      </c>
      <c r="F68" s="575" t="s">
        <v>90</v>
      </c>
      <c r="G68" s="575"/>
      <c r="J68" s="108" t="s">
        <v>86</v>
      </c>
      <c r="K68" s="112">
        <v>1.4E-5</v>
      </c>
      <c r="L68" s="110" t="s">
        <v>87</v>
      </c>
      <c r="M68" s="111">
        <f>K12</f>
        <v>4752539</v>
      </c>
      <c r="N68" s="110" t="s">
        <v>88</v>
      </c>
      <c r="O68" s="112">
        <v>0.13800000000000001</v>
      </c>
      <c r="P68" s="110" t="s">
        <v>89</v>
      </c>
      <c r="Q68" s="112" t="s">
        <v>90</v>
      </c>
      <c r="R68" s="229"/>
    </row>
    <row r="69" spans="1:18" ht="14.25" customHeight="1">
      <c r="A69" s="85"/>
      <c r="B69" s="113">
        <v>1000</v>
      </c>
      <c r="C69" s="107" t="s">
        <v>88</v>
      </c>
      <c r="D69" s="576" t="s">
        <v>59</v>
      </c>
      <c r="E69" s="576"/>
      <c r="F69" s="113">
        <v>2000</v>
      </c>
      <c r="G69" s="107" t="s">
        <v>87</v>
      </c>
      <c r="J69" s="85"/>
      <c r="K69" s="113" t="s">
        <v>89</v>
      </c>
      <c r="L69" s="107"/>
      <c r="M69" s="113" t="s">
        <v>59</v>
      </c>
      <c r="N69" s="107"/>
      <c r="O69" s="113" t="s">
        <v>88</v>
      </c>
      <c r="P69" s="107"/>
      <c r="Q69" s="113">
        <v>2000</v>
      </c>
      <c r="R69" s="329" t="s">
        <v>87</v>
      </c>
    </row>
    <row r="72" spans="1:18" ht="14.25" customHeight="1">
      <c r="A72" s="108" t="s">
        <v>86</v>
      </c>
      <c r="B72" s="123">
        <f>((B68/B69)*D68)/F69</f>
        <v>8.4022976351999998E-3</v>
      </c>
      <c r="C72" s="115" t="s">
        <v>90</v>
      </c>
      <c r="D72" s="85"/>
      <c r="E72" s="85"/>
      <c r="F72" s="85"/>
      <c r="G72" s="85"/>
      <c r="J72" s="108" t="s">
        <v>86</v>
      </c>
      <c r="K72" s="123">
        <f>((K68*M68*O68)/Q69)</f>
        <v>4.5909526740000005E-3</v>
      </c>
      <c r="L72" s="115" t="s">
        <v>90</v>
      </c>
      <c r="M72" s="85"/>
      <c r="N72" s="85"/>
      <c r="O72" s="85"/>
      <c r="P72" s="85"/>
      <c r="Q72" s="85"/>
      <c r="R72" s="85"/>
    </row>
    <row r="73" spans="1:18" ht="14.25" customHeight="1">
      <c r="A73" s="85"/>
      <c r="B73" s="85"/>
      <c r="C73" s="118" t="s">
        <v>59</v>
      </c>
      <c r="D73" s="85"/>
      <c r="E73" s="85"/>
      <c r="F73" s="85"/>
      <c r="G73" s="85"/>
      <c r="J73" s="85"/>
      <c r="K73" s="85"/>
      <c r="L73" s="118" t="s">
        <v>59</v>
      </c>
      <c r="M73" s="85"/>
      <c r="N73" s="85"/>
      <c r="O73" s="85"/>
      <c r="P73" s="85"/>
      <c r="Q73" s="85"/>
      <c r="R73" s="85"/>
    </row>
    <row r="76" spans="1:18" ht="14.25" customHeight="1">
      <c r="A76" s="85" t="s">
        <v>98</v>
      </c>
      <c r="B76" s="85"/>
      <c r="C76" s="85"/>
      <c r="D76" s="85"/>
      <c r="E76" s="85"/>
      <c r="F76" s="85"/>
      <c r="G76" s="85"/>
      <c r="J76" s="85" t="s">
        <v>98</v>
      </c>
      <c r="K76" s="85"/>
      <c r="L76" s="85"/>
      <c r="M76" s="85"/>
      <c r="N76" s="85"/>
      <c r="O76" s="85"/>
      <c r="P76" s="85"/>
      <c r="Q76" s="85"/>
      <c r="R76" s="85"/>
    </row>
    <row r="78" spans="1:18" ht="14.25" customHeight="1">
      <c r="A78" s="108" t="s">
        <v>86</v>
      </c>
      <c r="B78" s="109">
        <f>V12</f>
        <v>25.035941452772921</v>
      </c>
      <c r="C78" s="110" t="s">
        <v>87</v>
      </c>
      <c r="D78" s="111">
        <f>B12</f>
        <v>11128871.039999999</v>
      </c>
      <c r="E78" s="110" t="s">
        <v>88</v>
      </c>
      <c r="F78" s="575" t="s">
        <v>90</v>
      </c>
      <c r="G78" s="575"/>
      <c r="J78" s="108" t="s">
        <v>86</v>
      </c>
      <c r="K78" s="109">
        <f>V13</f>
        <v>22.579333304640002</v>
      </c>
      <c r="L78" s="110" t="s">
        <v>87</v>
      </c>
      <c r="M78" s="111">
        <f>K12</f>
        <v>4752539</v>
      </c>
      <c r="N78" s="110" t="s">
        <v>88</v>
      </c>
      <c r="O78" s="575" t="s">
        <v>90</v>
      </c>
      <c r="P78" s="575"/>
    </row>
    <row r="79" spans="1:18" ht="14.25" customHeight="1">
      <c r="A79" s="85"/>
      <c r="B79" s="113"/>
      <c r="C79" s="107" t="s">
        <v>88</v>
      </c>
      <c r="D79" s="576" t="s">
        <v>59</v>
      </c>
      <c r="E79" s="576"/>
      <c r="F79" s="113">
        <v>2000</v>
      </c>
      <c r="G79" s="107" t="s">
        <v>87</v>
      </c>
      <c r="J79" s="85"/>
      <c r="K79" s="113"/>
      <c r="L79" s="107" t="s">
        <v>88</v>
      </c>
      <c r="M79" s="576" t="s">
        <v>59</v>
      </c>
      <c r="N79" s="576"/>
      <c r="O79" s="113">
        <v>2000</v>
      </c>
      <c r="P79" s="107" t="s">
        <v>87</v>
      </c>
    </row>
    <row r="82" spans="1:16" ht="14.25" customHeight="1">
      <c r="A82" s="108" t="s">
        <v>86</v>
      </c>
      <c r="B82" s="123">
        <f>B78*D78/F79</f>
        <v>139310.88189645004</v>
      </c>
      <c r="C82" s="115" t="s">
        <v>90</v>
      </c>
      <c r="D82" s="85"/>
      <c r="E82" s="85"/>
      <c r="F82" s="85"/>
      <c r="G82" s="85"/>
      <c r="J82" s="108" t="s">
        <v>86</v>
      </c>
      <c r="K82" s="123">
        <f>K78*M78/O79</f>
        <v>53654.581062150246</v>
      </c>
      <c r="L82" s="115" t="s">
        <v>90</v>
      </c>
      <c r="M82" s="85"/>
      <c r="N82" s="85"/>
      <c r="O82" s="85"/>
      <c r="P82" s="85"/>
    </row>
    <row r="83" spans="1:16" ht="14.25" customHeight="1">
      <c r="A83" s="85"/>
      <c r="B83" s="85"/>
      <c r="C83" s="118" t="s">
        <v>59</v>
      </c>
      <c r="D83" s="85"/>
      <c r="E83" s="85"/>
      <c r="F83" s="85"/>
      <c r="G83" s="85"/>
      <c r="J83" s="85"/>
      <c r="K83" s="85"/>
      <c r="L83" s="118" t="s">
        <v>59</v>
      </c>
      <c r="M83" s="85"/>
      <c r="N83" s="85"/>
      <c r="O83" s="85"/>
      <c r="P83" s="85"/>
    </row>
  </sheetData>
  <mergeCells count="21">
    <mergeCell ref="A1:I1"/>
    <mergeCell ref="J1:R1"/>
    <mergeCell ref="A3:D3"/>
    <mergeCell ref="J3:L3"/>
    <mergeCell ref="F18:G18"/>
    <mergeCell ref="D19:E19"/>
    <mergeCell ref="F28:G28"/>
    <mergeCell ref="D29:E29"/>
    <mergeCell ref="F38:G38"/>
    <mergeCell ref="H38:I38"/>
    <mergeCell ref="D39:E39"/>
    <mergeCell ref="F48:G48"/>
    <mergeCell ref="D49:E49"/>
    <mergeCell ref="F58:G58"/>
    <mergeCell ref="D59:E59"/>
    <mergeCell ref="F68:G68"/>
    <mergeCell ref="D69:E69"/>
    <mergeCell ref="F78:G78"/>
    <mergeCell ref="O78:P78"/>
    <mergeCell ref="D79:E79"/>
    <mergeCell ref="M79:N79"/>
  </mergeCells>
  <pageMargins left="0.7" right="0.7" top="0.75" bottom="0.75" header="0.511811023622047" footer="0.511811023622047"/>
  <pageSetup paperSize="9" orientation="portrait" horizontalDpi="300" verticalDpi="30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2:P59"/>
  <sheetViews>
    <sheetView zoomScaleNormal="100" workbookViewId="0"/>
  </sheetViews>
  <sheetFormatPr defaultColWidth="8.85546875" defaultRowHeight="15"/>
  <cols>
    <col min="1" max="1" width="10.7109375" style="23" customWidth="1"/>
    <col min="2" max="2" width="17.5703125" style="23" customWidth="1"/>
    <col min="3" max="3" width="14.42578125" style="23" customWidth="1"/>
    <col min="4" max="4" width="14.7109375" style="23" customWidth="1"/>
    <col min="5" max="5" width="14.140625" style="23" customWidth="1"/>
    <col min="6" max="6" width="11.140625" style="23" customWidth="1"/>
    <col min="7" max="7" width="8.85546875" style="23"/>
    <col min="8" max="8" width="10.85546875" style="23" customWidth="1"/>
    <col min="9" max="9" width="11.42578125" style="23" customWidth="1"/>
    <col min="10" max="10" width="10" style="23" customWidth="1"/>
    <col min="11" max="11" width="16.42578125" style="23" customWidth="1"/>
    <col min="12" max="12" width="14.5703125" style="23" customWidth="1"/>
    <col min="13" max="16384" width="8.85546875" style="23"/>
  </cols>
  <sheetData>
    <row r="2" spans="1:16" ht="14.25" customHeight="1">
      <c r="A2" s="566" t="s">
        <v>239</v>
      </c>
      <c r="B2" s="566"/>
      <c r="C2" s="566"/>
      <c r="D2" s="566"/>
      <c r="E2" s="566"/>
      <c r="F2" s="566"/>
      <c r="G2" s="566"/>
      <c r="H2" s="566"/>
      <c r="I2" s="566"/>
    </row>
    <row r="3" spans="1:16" ht="14.25" customHeight="1">
      <c r="A3" s="582" t="s">
        <v>240</v>
      </c>
      <c r="B3" s="582"/>
      <c r="C3" s="582"/>
      <c r="D3" s="582"/>
      <c r="E3" s="582"/>
      <c r="F3" s="582" t="s">
        <v>57</v>
      </c>
      <c r="G3" s="582"/>
      <c r="H3" s="582"/>
      <c r="I3" s="582"/>
      <c r="M3" s="584"/>
      <c r="N3" s="584"/>
      <c r="O3" s="584"/>
      <c r="P3" s="584"/>
    </row>
    <row r="4" spans="1:16" ht="14.25" customHeight="1">
      <c r="A4" s="25" t="s">
        <v>59</v>
      </c>
      <c r="B4" s="30" t="s">
        <v>241</v>
      </c>
      <c r="C4" s="265" t="s">
        <v>242</v>
      </c>
      <c r="D4" s="265" t="s">
        <v>243</v>
      </c>
      <c r="E4" s="29" t="s">
        <v>244</v>
      </c>
      <c r="F4" s="555" t="s">
        <v>241</v>
      </c>
      <c r="G4" s="265" t="s">
        <v>242</v>
      </c>
      <c r="H4" s="265" t="s">
        <v>243</v>
      </c>
      <c r="I4" s="31" t="s">
        <v>244</v>
      </c>
      <c r="M4" s="184"/>
      <c r="N4" s="184"/>
      <c r="O4" s="184"/>
      <c r="P4" s="184"/>
    </row>
    <row r="5" spans="1:16" ht="14.25" customHeight="1">
      <c r="A5" s="32">
        <v>46023</v>
      </c>
      <c r="B5" s="55"/>
      <c r="C5" s="271"/>
      <c r="D5" s="55"/>
      <c r="E5" s="55"/>
      <c r="F5" s="271"/>
      <c r="G5" s="271"/>
      <c r="H5" s="55"/>
      <c r="I5" s="55"/>
      <c r="M5" s="189"/>
      <c r="N5" s="189"/>
      <c r="O5" s="189"/>
      <c r="P5" s="189"/>
    </row>
    <row r="6" spans="1:16" ht="14.25" customHeight="1">
      <c r="A6" s="40">
        <v>46054</v>
      </c>
      <c r="B6" s="55"/>
      <c r="C6" s="277"/>
      <c r="D6" s="55"/>
      <c r="E6" s="55"/>
      <c r="F6" s="277"/>
      <c r="G6" s="277"/>
      <c r="H6" s="277"/>
      <c r="I6" s="277"/>
      <c r="M6" s="189"/>
      <c r="N6" s="189"/>
      <c r="O6" s="189"/>
      <c r="P6" s="189"/>
    </row>
    <row r="7" spans="1:16" ht="14.25" customHeight="1">
      <c r="A7" s="40">
        <v>46082</v>
      </c>
      <c r="B7" s="55"/>
      <c r="C7" s="277"/>
      <c r="D7" s="55"/>
      <c r="E7" s="55"/>
      <c r="F7" s="277"/>
      <c r="G7" s="277"/>
      <c r="H7" s="277"/>
      <c r="I7" s="277"/>
      <c r="M7" s="189"/>
      <c r="N7" s="189"/>
      <c r="O7" s="189"/>
      <c r="P7" s="189"/>
    </row>
    <row r="8" spans="1:16" ht="14.25" customHeight="1">
      <c r="A8" s="40">
        <v>46113</v>
      </c>
      <c r="B8" s="55"/>
      <c r="C8" s="277"/>
      <c r="D8" s="55"/>
      <c r="E8" s="55"/>
      <c r="F8" s="277"/>
      <c r="G8" s="277"/>
      <c r="H8" s="277"/>
      <c r="I8" s="277"/>
      <c r="M8" s="189"/>
      <c r="N8" s="189"/>
      <c r="O8" s="189"/>
      <c r="P8" s="189"/>
    </row>
    <row r="9" spans="1:16" ht="14.25" customHeight="1">
      <c r="A9" s="40">
        <v>46143</v>
      </c>
      <c r="B9" s="55"/>
      <c r="C9" s="277"/>
      <c r="D9" s="55"/>
      <c r="E9" s="55"/>
      <c r="F9" s="277"/>
      <c r="G9" s="277"/>
      <c r="H9" s="277"/>
      <c r="I9" s="277"/>
      <c r="M9" s="189"/>
      <c r="N9" s="189"/>
      <c r="O9" s="189"/>
      <c r="P9" s="189"/>
    </row>
    <row r="10" spans="1:16" ht="14.25" customHeight="1">
      <c r="A10" s="48">
        <v>46174</v>
      </c>
      <c r="B10" s="65"/>
      <c r="C10" s="54"/>
      <c r="D10" s="65">
        <v>5478665</v>
      </c>
      <c r="E10" s="65">
        <v>6759249</v>
      </c>
      <c r="F10" s="54"/>
      <c r="G10" s="54"/>
      <c r="H10" s="54">
        <v>0.45</v>
      </c>
      <c r="I10" s="54">
        <v>0.45</v>
      </c>
      <c r="M10" s="189"/>
      <c r="N10" s="189"/>
      <c r="O10" s="189"/>
      <c r="P10" s="189"/>
    </row>
    <row r="11" spans="1:16" ht="14.25" customHeight="1">
      <c r="A11" s="40">
        <v>46204</v>
      </c>
      <c r="B11" s="55"/>
      <c r="C11" s="277"/>
      <c r="D11" s="55"/>
      <c r="E11" s="55"/>
      <c r="F11" s="277"/>
      <c r="G11" s="277"/>
      <c r="H11" s="277"/>
      <c r="I11" s="277"/>
      <c r="M11" s="189"/>
      <c r="N11" s="189"/>
      <c r="O11" s="189"/>
      <c r="P11" s="189"/>
    </row>
    <row r="12" spans="1:16" ht="14.25" customHeight="1">
      <c r="A12" s="40">
        <v>46235</v>
      </c>
      <c r="B12" s="55"/>
      <c r="C12" s="277"/>
      <c r="D12" s="55"/>
      <c r="E12" s="55"/>
      <c r="F12" s="277"/>
      <c r="G12" s="277"/>
      <c r="H12" s="277"/>
      <c r="I12" s="277"/>
      <c r="M12" s="189"/>
      <c r="N12" s="189"/>
      <c r="O12" s="189"/>
      <c r="P12" s="189"/>
    </row>
    <row r="13" spans="1:16" ht="14.25" customHeight="1">
      <c r="A13" s="40">
        <v>46266</v>
      </c>
      <c r="B13" s="55"/>
      <c r="C13" s="277"/>
      <c r="D13" s="55"/>
      <c r="E13" s="55"/>
      <c r="F13" s="277"/>
      <c r="G13" s="277"/>
      <c r="H13" s="277"/>
      <c r="I13" s="277"/>
      <c r="M13" s="189"/>
      <c r="N13" s="189"/>
      <c r="O13" s="189"/>
      <c r="P13" s="189"/>
    </row>
    <row r="14" spans="1:16" ht="14.25" customHeight="1">
      <c r="A14" s="40">
        <v>46296</v>
      </c>
      <c r="B14" s="55"/>
      <c r="C14" s="277"/>
      <c r="D14" s="55"/>
      <c r="E14" s="55"/>
      <c r="F14" s="277"/>
      <c r="G14" s="277"/>
      <c r="H14" s="277"/>
      <c r="I14" s="277"/>
      <c r="K14" s="331"/>
      <c r="M14" s="189"/>
      <c r="N14" s="189"/>
      <c r="O14" s="189"/>
      <c r="P14" s="189"/>
    </row>
    <row r="15" spans="1:16" ht="14.25" customHeight="1">
      <c r="A15" s="40">
        <v>46327</v>
      </c>
      <c r="B15" s="55"/>
      <c r="C15" s="277"/>
      <c r="D15" s="55"/>
      <c r="E15" s="55"/>
      <c r="F15" s="277"/>
      <c r="G15" s="277"/>
      <c r="H15" s="277"/>
      <c r="I15" s="277"/>
      <c r="M15" s="189"/>
      <c r="N15" s="189"/>
      <c r="O15" s="189"/>
      <c r="P15" s="189"/>
    </row>
    <row r="16" spans="1:16" ht="14.25" customHeight="1">
      <c r="A16" s="40">
        <v>46357</v>
      </c>
      <c r="B16" s="55"/>
      <c r="C16" s="332"/>
      <c r="D16" s="55"/>
      <c r="E16" s="55"/>
      <c r="F16" s="332"/>
      <c r="G16" s="332"/>
      <c r="H16" s="332"/>
      <c r="I16" s="332"/>
      <c r="M16" s="189"/>
      <c r="N16" s="189"/>
      <c r="O16" s="189"/>
      <c r="P16" s="189"/>
    </row>
    <row r="17" spans="1:16" ht="14.25" customHeight="1">
      <c r="A17" s="25" t="s">
        <v>20</v>
      </c>
      <c r="B17" s="333">
        <f>SUM(B5:B16)</f>
        <v>0</v>
      </c>
      <c r="C17" s="299">
        <f>SUM(C5:C16)</f>
        <v>0</v>
      </c>
      <c r="D17" s="299">
        <f>SUM(D5:D16)</f>
        <v>5478665</v>
      </c>
      <c r="E17" s="334">
        <f>SUM(E5:E16)</f>
        <v>6759249</v>
      </c>
      <c r="F17" s="306" t="str">
        <f>IFERROR(AVERAGE(F5:F10),"n.a.")</f>
        <v>n.a.</v>
      </c>
      <c r="G17" s="302" t="str">
        <f>IFERROR(AVERAGE(G5:G10),"n.a.")</f>
        <v>n.a.</v>
      </c>
      <c r="H17" s="335">
        <f>AVERAGE(H5:H16)</f>
        <v>0.45</v>
      </c>
      <c r="I17" s="335">
        <f>AVERAGE(I5:I16)</f>
        <v>0.45</v>
      </c>
      <c r="M17" s="296"/>
      <c r="N17" s="296"/>
      <c r="O17" s="296"/>
      <c r="P17" s="296"/>
    </row>
    <row r="18" spans="1:16" ht="28.5" customHeight="1">
      <c r="A18" s="336" t="s">
        <v>245</v>
      </c>
      <c r="B18" s="337">
        <f>B17</f>
        <v>0</v>
      </c>
      <c r="C18" s="337">
        <f>C17</f>
        <v>0</v>
      </c>
      <c r="D18" s="337">
        <f>D17</f>
        <v>5478665</v>
      </c>
      <c r="E18" s="337">
        <f>E17</f>
        <v>6759249</v>
      </c>
      <c r="F18" s="306" t="str">
        <f>IFERROR(AVERAGE(F5:F16),"n.a.")</f>
        <v>n.a.</v>
      </c>
      <c r="G18" s="302" t="str">
        <f>IFERROR(AVERAGE(G5:G16),"n.a.")</f>
        <v>n.a.</v>
      </c>
      <c r="H18" s="302">
        <f>AVERAGE(H5:H16)</f>
        <v>0.45</v>
      </c>
      <c r="I18" s="335">
        <f>AVERAGE(I5:I16)</f>
        <v>0.45</v>
      </c>
    </row>
    <row r="20" spans="1:16" ht="14.25" customHeight="1">
      <c r="A20" s="591" t="s">
        <v>246</v>
      </c>
      <c r="B20" s="591"/>
      <c r="C20" s="591"/>
      <c r="D20" s="591"/>
      <c r="E20" s="591"/>
      <c r="F20" s="591"/>
      <c r="G20" s="591"/>
      <c r="H20" s="591"/>
      <c r="I20" s="591"/>
      <c r="J20" s="591"/>
      <c r="K20" s="591"/>
      <c r="L20" s="591"/>
    </row>
    <row r="21" spans="1:16" ht="14.25" customHeight="1">
      <c r="A21" s="567" t="s">
        <v>59</v>
      </c>
      <c r="B21" s="566" t="s">
        <v>240</v>
      </c>
      <c r="C21" s="566"/>
      <c r="D21" s="566"/>
      <c r="E21" s="566"/>
      <c r="F21" s="585" t="s">
        <v>57</v>
      </c>
      <c r="G21" s="585"/>
      <c r="H21" s="585"/>
      <c r="I21" s="585"/>
      <c r="J21" s="567" t="s">
        <v>59</v>
      </c>
      <c r="K21" s="566" t="s">
        <v>58</v>
      </c>
      <c r="L21" s="566"/>
      <c r="M21" s="566" t="s">
        <v>57</v>
      </c>
      <c r="N21" s="566"/>
    </row>
    <row r="22" spans="1:16" ht="14.25" customHeight="1">
      <c r="A22" s="567"/>
      <c r="B22" s="555" t="s">
        <v>247</v>
      </c>
      <c r="C22" s="265" t="s">
        <v>248</v>
      </c>
      <c r="D22" s="265" t="s">
        <v>249</v>
      </c>
      <c r="E22" s="31" t="s">
        <v>250</v>
      </c>
      <c r="F22" s="28" t="s">
        <v>247</v>
      </c>
      <c r="G22" s="265" t="s">
        <v>248</v>
      </c>
      <c r="H22" s="265" t="s">
        <v>249</v>
      </c>
      <c r="I22" s="31" t="s">
        <v>250</v>
      </c>
      <c r="J22" s="567"/>
      <c r="K22" s="25" t="s">
        <v>251</v>
      </c>
      <c r="L22" s="31" t="s">
        <v>252</v>
      </c>
      <c r="M22" s="260" t="s">
        <v>251</v>
      </c>
      <c r="N22" s="338" t="s">
        <v>252</v>
      </c>
    </row>
    <row r="23" spans="1:16" ht="14.25" customHeight="1">
      <c r="A23" s="32">
        <f>A5</f>
        <v>46023</v>
      </c>
      <c r="B23" s="55"/>
      <c r="C23" s="55"/>
      <c r="D23" s="55"/>
      <c r="E23" s="55">
        <v>0</v>
      </c>
      <c r="F23" s="55">
        <v>0.01</v>
      </c>
      <c r="G23" s="55">
        <v>0.01</v>
      </c>
      <c r="H23" s="55">
        <v>0.01</v>
      </c>
      <c r="I23" s="55">
        <v>0.01</v>
      </c>
      <c r="J23" s="32">
        <f>A5</f>
        <v>46023</v>
      </c>
      <c r="K23" s="55">
        <v>0</v>
      </c>
      <c r="L23" s="339">
        <v>0</v>
      </c>
      <c r="M23" s="55">
        <v>0</v>
      </c>
      <c r="N23" s="340">
        <v>0</v>
      </c>
    </row>
    <row r="24" spans="1:16" ht="14.25" customHeight="1">
      <c r="A24" s="40">
        <f>A6</f>
        <v>46054</v>
      </c>
      <c r="B24" s="55"/>
      <c r="C24" s="55"/>
      <c r="D24" s="55"/>
      <c r="E24" s="55">
        <v>0</v>
      </c>
      <c r="F24" s="55">
        <v>0.01</v>
      </c>
      <c r="G24" s="55">
        <v>0.01</v>
      </c>
      <c r="H24" s="55">
        <v>0.01</v>
      </c>
      <c r="I24" s="55">
        <v>0.01</v>
      </c>
      <c r="J24" s="40">
        <f>A6</f>
        <v>46054</v>
      </c>
      <c r="K24" s="55"/>
      <c r="L24" s="341"/>
      <c r="M24" s="55"/>
      <c r="N24" s="342"/>
    </row>
    <row r="25" spans="1:16" ht="14.25" customHeight="1">
      <c r="A25" s="40">
        <f>A7</f>
        <v>46082</v>
      </c>
      <c r="B25" s="55"/>
      <c r="C25" s="55"/>
      <c r="D25" s="55"/>
      <c r="E25" s="55">
        <v>0</v>
      </c>
      <c r="F25" s="55">
        <v>0.01</v>
      </c>
      <c r="G25" s="55">
        <v>0.01</v>
      </c>
      <c r="H25" s="55">
        <v>0.01</v>
      </c>
      <c r="I25" s="55">
        <v>0.01</v>
      </c>
      <c r="J25" s="40">
        <f>A7</f>
        <v>46082</v>
      </c>
      <c r="K25" s="55"/>
      <c r="L25" s="277"/>
      <c r="M25" s="55"/>
      <c r="N25" s="44"/>
    </row>
    <row r="26" spans="1:16" ht="14.25" customHeight="1">
      <c r="A26" s="40">
        <f>A8</f>
        <v>46113</v>
      </c>
      <c r="B26" s="55"/>
      <c r="C26" s="55"/>
      <c r="D26" s="55"/>
      <c r="E26" s="55">
        <v>0</v>
      </c>
      <c r="F26" s="55">
        <v>0.01</v>
      </c>
      <c r="G26" s="55">
        <v>0.01</v>
      </c>
      <c r="H26" s="55">
        <v>0.01</v>
      </c>
      <c r="I26" s="55">
        <v>0.01</v>
      </c>
      <c r="J26" s="40">
        <f>A8</f>
        <v>46113</v>
      </c>
      <c r="K26" s="55"/>
      <c r="L26" s="277"/>
      <c r="M26" s="55"/>
      <c r="N26" s="44"/>
    </row>
    <row r="27" spans="1:16" ht="14.25" customHeight="1">
      <c r="A27" s="40">
        <f>A9</f>
        <v>46143</v>
      </c>
      <c r="B27" s="55"/>
      <c r="C27" s="55"/>
      <c r="D27" s="55"/>
      <c r="E27" s="55">
        <v>0</v>
      </c>
      <c r="F27" s="55">
        <v>0.01</v>
      </c>
      <c r="G27" s="55">
        <v>0.01</v>
      </c>
      <c r="H27" s="55">
        <v>0.01</v>
      </c>
      <c r="I27" s="55">
        <v>0.01</v>
      </c>
      <c r="J27" s="40">
        <f>A9</f>
        <v>46143</v>
      </c>
      <c r="K27" s="55"/>
      <c r="L27" s="277"/>
      <c r="M27" s="55"/>
      <c r="N27" s="44"/>
    </row>
    <row r="28" spans="1:16" ht="14.25" customHeight="1">
      <c r="A28" s="48">
        <f>A10</f>
        <v>46174</v>
      </c>
      <c r="B28" s="65">
        <v>473204</v>
      </c>
      <c r="C28" s="65">
        <v>0</v>
      </c>
      <c r="D28" s="65">
        <v>0</v>
      </c>
      <c r="E28" s="65">
        <v>0</v>
      </c>
      <c r="F28" s="65">
        <v>0.01</v>
      </c>
      <c r="G28" s="65">
        <v>0.01</v>
      </c>
      <c r="H28" s="65">
        <v>0.01</v>
      </c>
      <c r="I28" s="65">
        <v>0.01</v>
      </c>
      <c r="J28" s="48">
        <f>A10</f>
        <v>46174</v>
      </c>
      <c r="K28" s="65"/>
      <c r="L28" s="54"/>
      <c r="M28" s="65"/>
      <c r="N28" s="52"/>
    </row>
    <row r="29" spans="1:16" ht="14.25" customHeight="1">
      <c r="A29" s="40">
        <f>A11</f>
        <v>46204</v>
      </c>
      <c r="B29" s="55"/>
      <c r="C29" s="55"/>
      <c r="D29" s="55"/>
      <c r="E29" s="55">
        <v>0</v>
      </c>
      <c r="F29" s="55">
        <v>0.01</v>
      </c>
      <c r="G29" s="55">
        <v>0.01</v>
      </c>
      <c r="H29" s="55">
        <v>0.01</v>
      </c>
      <c r="I29" s="55">
        <v>0.01</v>
      </c>
      <c r="J29" s="40">
        <f>A11</f>
        <v>46204</v>
      </c>
      <c r="K29" s="55"/>
      <c r="L29" s="277"/>
      <c r="M29" s="55"/>
      <c r="N29" s="44"/>
    </row>
    <row r="30" spans="1:16" ht="14.25" customHeight="1">
      <c r="A30" s="40">
        <f>A12</f>
        <v>46235</v>
      </c>
      <c r="B30" s="55"/>
      <c r="C30" s="55"/>
      <c r="D30" s="55"/>
      <c r="E30" s="55">
        <v>0</v>
      </c>
      <c r="F30" s="55">
        <v>0.01</v>
      </c>
      <c r="G30" s="55">
        <v>0.01</v>
      </c>
      <c r="H30" s="55">
        <v>0.01</v>
      </c>
      <c r="I30" s="55">
        <v>0.01</v>
      </c>
      <c r="J30" s="40">
        <f>A12</f>
        <v>46235</v>
      </c>
      <c r="K30" s="55"/>
      <c r="L30" s="277"/>
      <c r="M30" s="55"/>
      <c r="N30" s="44"/>
    </row>
    <row r="31" spans="1:16" ht="14.25" customHeight="1">
      <c r="A31" s="40">
        <f>A13</f>
        <v>46266</v>
      </c>
      <c r="B31" s="55"/>
      <c r="C31" s="55"/>
      <c r="D31" s="55"/>
      <c r="E31" s="55">
        <v>0</v>
      </c>
      <c r="F31" s="55">
        <v>0.01</v>
      </c>
      <c r="G31" s="55">
        <v>0.01</v>
      </c>
      <c r="H31" s="55">
        <v>0.01</v>
      </c>
      <c r="I31" s="55">
        <v>0.01</v>
      </c>
      <c r="J31" s="40">
        <f>A13</f>
        <v>46266</v>
      </c>
      <c r="K31" s="55"/>
      <c r="L31" s="277"/>
      <c r="M31" s="55"/>
      <c r="N31" s="44"/>
    </row>
    <row r="32" spans="1:16" ht="14.25" customHeight="1">
      <c r="A32" s="40">
        <f>A14</f>
        <v>46296</v>
      </c>
      <c r="B32" s="55"/>
      <c r="C32" s="55"/>
      <c r="D32" s="55"/>
      <c r="E32" s="55">
        <v>0</v>
      </c>
      <c r="F32" s="55">
        <v>0.01</v>
      </c>
      <c r="G32" s="55">
        <v>0.01</v>
      </c>
      <c r="H32" s="55">
        <v>0.01</v>
      </c>
      <c r="I32" s="55">
        <v>0.01</v>
      </c>
      <c r="J32" s="40">
        <f>A14</f>
        <v>46296</v>
      </c>
      <c r="K32" s="55"/>
      <c r="L32" s="277"/>
      <c r="M32" s="55"/>
      <c r="N32" s="44"/>
    </row>
    <row r="33" spans="1:14" ht="14.25" customHeight="1">
      <c r="A33" s="40">
        <f>A15</f>
        <v>46327</v>
      </c>
      <c r="B33" s="55"/>
      <c r="C33" s="55"/>
      <c r="D33" s="55"/>
      <c r="E33" s="55">
        <v>0</v>
      </c>
      <c r="F33" s="55">
        <v>0.01</v>
      </c>
      <c r="G33" s="55">
        <v>0.01</v>
      </c>
      <c r="H33" s="55">
        <v>0.01</v>
      </c>
      <c r="I33" s="55">
        <v>0.01</v>
      </c>
      <c r="J33" s="40">
        <f>A15</f>
        <v>46327</v>
      </c>
      <c r="K33" s="55"/>
      <c r="L33" s="277"/>
      <c r="M33" s="55"/>
      <c r="N33" s="44"/>
    </row>
    <row r="34" spans="1:14" ht="14.25" customHeight="1">
      <c r="A34" s="40">
        <f>A16</f>
        <v>46357</v>
      </c>
      <c r="B34" s="55"/>
      <c r="C34" s="55"/>
      <c r="D34" s="55"/>
      <c r="E34" s="55">
        <v>0</v>
      </c>
      <c r="F34" s="55">
        <v>0.01</v>
      </c>
      <c r="G34" s="55">
        <v>0.01</v>
      </c>
      <c r="H34" s="55">
        <v>0.01</v>
      </c>
      <c r="I34" s="55">
        <v>0.01</v>
      </c>
      <c r="J34" s="40">
        <f>A16</f>
        <v>46357</v>
      </c>
      <c r="K34" s="55"/>
      <c r="L34" s="332"/>
      <c r="M34" s="55"/>
      <c r="N34" s="343"/>
    </row>
    <row r="35" spans="1:14" ht="14.25" customHeight="1">
      <c r="A35" s="25" t="s">
        <v>20</v>
      </c>
      <c r="B35" s="305">
        <f>SUM(B23:B34)</f>
        <v>473204</v>
      </c>
      <c r="C35" s="305">
        <f>SUM(C23:C34)</f>
        <v>0</v>
      </c>
      <c r="D35" s="305">
        <f>SUM(D23:D34)</f>
        <v>0</v>
      </c>
      <c r="E35" s="305">
        <f>SUM(E23:E34)</f>
        <v>0</v>
      </c>
      <c r="F35" s="255">
        <f>AVERAGE(F23:F34)</f>
        <v>9.9999999999999985E-3</v>
      </c>
      <c r="G35" s="344">
        <f>AVERAGE(G23:G34)</f>
        <v>9.9999999999999985E-3</v>
      </c>
      <c r="H35" s="333">
        <f>AVERAGE(H23:H34)</f>
        <v>9.9999999999999985E-3</v>
      </c>
      <c r="I35" s="344">
        <f>AVERAGE(I23:I28)</f>
        <v>0.01</v>
      </c>
      <c r="J35" s="25" t="s">
        <v>20</v>
      </c>
      <c r="K35" s="305">
        <f>SUM(K23:K34)</f>
        <v>0</v>
      </c>
      <c r="L35" s="305">
        <f>SUM(L23:L34)</f>
        <v>0</v>
      </c>
      <c r="M35" s="205">
        <f>AVERAGE(M23:M34)</f>
        <v>0</v>
      </c>
      <c r="N35" s="60">
        <f>AVERAGE(N23:N34)</f>
        <v>0</v>
      </c>
    </row>
    <row r="36" spans="1:14" ht="28.5" customHeight="1">
      <c r="A36" s="336" t="s">
        <v>245</v>
      </c>
      <c r="B36" s="345">
        <f>B35</f>
        <v>473204</v>
      </c>
      <c r="C36" s="346">
        <f>C35</f>
        <v>0</v>
      </c>
      <c r="D36" s="346">
        <f>D35</f>
        <v>0</v>
      </c>
      <c r="E36" s="347">
        <f>E35</f>
        <v>0</v>
      </c>
      <c r="J36" s="348" t="s">
        <v>245</v>
      </c>
      <c r="K36" s="345">
        <f>K35*42</f>
        <v>0</v>
      </c>
      <c r="L36" s="347">
        <f>L35*42</f>
        <v>0</v>
      </c>
    </row>
    <row r="37" spans="1:14" ht="14.25" customHeight="1">
      <c r="B37" s="63">
        <f>SUM(B29:B34)*42</f>
        <v>0</v>
      </c>
      <c r="C37" s="63">
        <f>SUM(C29:C34)*42</f>
        <v>0</v>
      </c>
      <c r="D37" s="63">
        <f>SUM(D29:D34)*42</f>
        <v>0</v>
      </c>
      <c r="E37" s="63">
        <f>SUM(E29:E34)*42</f>
        <v>0</v>
      </c>
      <c r="F37" s="63"/>
      <c r="G37" s="63"/>
      <c r="H37" s="63"/>
      <c r="I37" s="63"/>
      <c r="J37" s="63"/>
      <c r="K37" s="63">
        <f>SUM(K29:K34)*42</f>
        <v>0</v>
      </c>
      <c r="L37" s="63">
        <f>SUM(L29:L34)*42</f>
        <v>0</v>
      </c>
    </row>
    <row r="38" spans="1:14" ht="14.25" customHeight="1">
      <c r="H38" s="331">
        <f>SUM(B36+C36+D36+E36+K36+L36)</f>
        <v>473204</v>
      </c>
    </row>
    <row r="39" spans="1:14" ht="14.25" customHeight="1">
      <c r="A39" s="200" t="s">
        <v>253</v>
      </c>
      <c r="K39" s="63">
        <f>AVERAGE(M35,I35,G35,F35)</f>
        <v>7.4999999999999989E-3</v>
      </c>
    </row>
    <row r="40" spans="1:14" ht="14.25" customHeight="1">
      <c r="A40" s="567" t="s">
        <v>59</v>
      </c>
      <c r="B40" s="566" t="s">
        <v>254</v>
      </c>
      <c r="C40" s="566"/>
      <c r="D40" s="566"/>
      <c r="E40" s="566"/>
      <c r="F40" s="566" t="s">
        <v>255</v>
      </c>
      <c r="G40" s="566"/>
      <c r="H40" s="566"/>
      <c r="I40" s="566"/>
    </row>
    <row r="41" spans="1:14" ht="14.25" customHeight="1">
      <c r="A41" s="567"/>
      <c r="B41" s="555" t="s">
        <v>256</v>
      </c>
      <c r="C41" s="265" t="s">
        <v>257</v>
      </c>
      <c r="D41" s="265" t="s">
        <v>258</v>
      </c>
      <c r="E41" s="31" t="s">
        <v>71</v>
      </c>
      <c r="F41" s="555" t="s">
        <v>259</v>
      </c>
      <c r="G41" s="265" t="s">
        <v>260</v>
      </c>
      <c r="H41" s="265" t="s">
        <v>261</v>
      </c>
      <c r="I41" s="31" t="s">
        <v>71</v>
      </c>
    </row>
    <row r="42" spans="1:14" ht="14.25" customHeight="1">
      <c r="A42" s="32">
        <f>A23</f>
        <v>46023</v>
      </c>
      <c r="B42" s="55"/>
      <c r="C42" s="55"/>
      <c r="D42" s="55"/>
      <c r="E42" s="55">
        <f>SUM(B42:D42)</f>
        <v>0</v>
      </c>
      <c r="F42" s="55"/>
      <c r="G42" s="55"/>
      <c r="H42" s="55"/>
      <c r="I42" s="55">
        <f>SUM(F42:H42)</f>
        <v>0</v>
      </c>
    </row>
    <row r="43" spans="1:14" ht="14.25" customHeight="1">
      <c r="A43" s="40">
        <f>A24</f>
        <v>46054</v>
      </c>
      <c r="B43" s="55"/>
      <c r="C43" s="55"/>
      <c r="D43" s="55"/>
      <c r="E43" s="55">
        <f>SUM(B43:D43)</f>
        <v>0</v>
      </c>
      <c r="F43" s="55"/>
      <c r="G43" s="55"/>
      <c r="H43" s="55"/>
      <c r="I43" s="55">
        <f>SUM(F43:H43)</f>
        <v>0</v>
      </c>
    </row>
    <row r="44" spans="1:14" ht="14.25" customHeight="1">
      <c r="A44" s="40">
        <f>A25</f>
        <v>46082</v>
      </c>
      <c r="B44" s="55"/>
      <c r="C44" s="55"/>
      <c r="D44" s="55"/>
      <c r="E44" s="55">
        <f>SUM(B44:D44)</f>
        <v>0</v>
      </c>
      <c r="F44" s="55"/>
      <c r="G44" s="55"/>
      <c r="H44" s="55"/>
      <c r="I44" s="55">
        <f>SUM(F44:H44)</f>
        <v>0</v>
      </c>
    </row>
    <row r="45" spans="1:14" ht="14.25" customHeight="1">
      <c r="A45" s="40">
        <f>A26</f>
        <v>46113</v>
      </c>
      <c r="B45" s="55"/>
      <c r="C45" s="55"/>
      <c r="D45" s="55"/>
      <c r="E45" s="55">
        <f>SUM(B45:D45)</f>
        <v>0</v>
      </c>
      <c r="F45" s="55"/>
      <c r="G45" s="55"/>
      <c r="H45" s="55"/>
      <c r="I45" s="55">
        <f>SUM(F45:H45)</f>
        <v>0</v>
      </c>
    </row>
    <row r="46" spans="1:14" ht="14.25" customHeight="1">
      <c r="A46" s="40">
        <f>A27</f>
        <v>46143</v>
      </c>
      <c r="B46" s="55"/>
      <c r="C46" s="55"/>
      <c r="D46" s="55"/>
      <c r="E46" s="55">
        <f>SUM(B46:D46)</f>
        <v>0</v>
      </c>
      <c r="F46" s="55"/>
      <c r="G46" s="55"/>
      <c r="H46" s="55"/>
      <c r="I46" s="55">
        <f>SUM(F46:H46)</f>
        <v>0</v>
      </c>
    </row>
    <row r="47" spans="1:14" ht="14.25" customHeight="1">
      <c r="A47" s="48">
        <f>A28</f>
        <v>46174</v>
      </c>
      <c r="B47" s="65">
        <v>0</v>
      </c>
      <c r="C47" s="65">
        <v>0</v>
      </c>
      <c r="D47" s="65">
        <v>0</v>
      </c>
      <c r="E47" s="65">
        <f>SUM(B47:D47)</f>
        <v>0</v>
      </c>
      <c r="F47" s="65">
        <v>118033.4</v>
      </c>
      <c r="G47" s="65">
        <v>1E-3</v>
      </c>
      <c r="H47" s="65">
        <v>1E-3</v>
      </c>
      <c r="I47" s="65">
        <f>SUM(F47:H47)</f>
        <v>118033.402</v>
      </c>
    </row>
    <row r="48" spans="1:14" ht="14.25" customHeight="1">
      <c r="A48" s="40">
        <f>A29</f>
        <v>46204</v>
      </c>
      <c r="B48" s="55"/>
      <c r="C48" s="55"/>
      <c r="D48" s="55"/>
      <c r="E48" s="55">
        <f>SUM(B48:D48)</f>
        <v>0</v>
      </c>
      <c r="F48" s="55"/>
      <c r="G48" s="55"/>
      <c r="H48" s="55"/>
      <c r="I48" s="55">
        <f>SUM(F48:H48)</f>
        <v>0</v>
      </c>
    </row>
    <row r="49" spans="1:11" ht="14.25" customHeight="1">
      <c r="A49" s="40">
        <f>A30</f>
        <v>46235</v>
      </c>
      <c r="B49" s="55"/>
      <c r="C49" s="55"/>
      <c r="D49" s="55"/>
      <c r="E49" s="55">
        <f>SUM(B49:D49)</f>
        <v>0</v>
      </c>
      <c r="F49" s="55"/>
      <c r="G49" s="55"/>
      <c r="H49" s="55"/>
      <c r="I49" s="55">
        <f>SUM(F49:H49)</f>
        <v>0</v>
      </c>
    </row>
    <row r="50" spans="1:11" ht="14.25" customHeight="1">
      <c r="A50" s="40">
        <f>A31</f>
        <v>46266</v>
      </c>
      <c r="B50" s="55"/>
      <c r="C50" s="55"/>
      <c r="D50" s="55"/>
      <c r="E50" s="55">
        <f>SUM(B50:D50)</f>
        <v>0</v>
      </c>
      <c r="F50" s="55"/>
      <c r="G50" s="55"/>
      <c r="H50" s="55"/>
      <c r="I50" s="55">
        <f>SUM(F50:H50)</f>
        <v>0</v>
      </c>
    </row>
    <row r="51" spans="1:11" ht="14.25" customHeight="1">
      <c r="A51" s="40">
        <f>A32</f>
        <v>46296</v>
      </c>
      <c r="B51" s="55"/>
      <c r="C51" s="55"/>
      <c r="D51" s="55"/>
      <c r="E51" s="55">
        <f>SUM(B51:D51)</f>
        <v>0</v>
      </c>
      <c r="F51" s="55"/>
      <c r="G51" s="55"/>
      <c r="H51" s="55"/>
      <c r="I51" s="55">
        <f>SUM(F51:H51)</f>
        <v>0</v>
      </c>
    </row>
    <row r="52" spans="1:11" ht="14.25" customHeight="1">
      <c r="A52" s="40">
        <f>A33</f>
        <v>46327</v>
      </c>
      <c r="B52" s="55"/>
      <c r="C52" s="55"/>
      <c r="D52" s="55"/>
      <c r="E52" s="55">
        <f>SUM(B52:D52)</f>
        <v>0</v>
      </c>
      <c r="F52" s="55"/>
      <c r="G52" s="55"/>
      <c r="H52" s="55"/>
      <c r="I52" s="55">
        <f>SUM(F52:H52)</f>
        <v>0</v>
      </c>
    </row>
    <row r="53" spans="1:11" ht="14.25" customHeight="1">
      <c r="A53" s="40">
        <f>A34</f>
        <v>46357</v>
      </c>
      <c r="B53" s="55"/>
      <c r="C53" s="55"/>
      <c r="D53" s="55"/>
      <c r="E53" s="55">
        <f>SUM(B53:D53)</f>
        <v>0</v>
      </c>
      <c r="F53" s="55"/>
      <c r="G53" s="55"/>
      <c r="H53" s="55"/>
      <c r="I53" s="55">
        <f>SUM(F53:H53)</f>
        <v>0</v>
      </c>
    </row>
    <row r="54" spans="1:11" ht="14.25" customHeight="1">
      <c r="A54" s="25" t="s">
        <v>20</v>
      </c>
      <c r="B54" s="305">
        <f>SUM(B42:B53)</f>
        <v>0</v>
      </c>
      <c r="C54" s="305">
        <f>SUM(C42:C53)</f>
        <v>0</v>
      </c>
      <c r="D54" s="305">
        <f>SUM(D42:D53)</f>
        <v>0</v>
      </c>
      <c r="E54" s="305">
        <f>SUM(E42:E53)</f>
        <v>0</v>
      </c>
      <c r="F54" s="305">
        <f>SUM(F42:F53)</f>
        <v>118033.4</v>
      </c>
      <c r="G54" s="305">
        <f>SUM(G42:G53)</f>
        <v>1E-3</v>
      </c>
      <c r="H54" s="305">
        <f>SUM(H42:H53)</f>
        <v>1E-3</v>
      </c>
      <c r="I54" s="305">
        <f>SUM(I42:I53)</f>
        <v>118033.402</v>
      </c>
    </row>
    <row r="55" spans="1:11" ht="28.5" customHeight="1">
      <c r="A55" s="336" t="s">
        <v>245</v>
      </c>
      <c r="B55" s="345">
        <f>B54</f>
        <v>0</v>
      </c>
      <c r="C55" s="346">
        <f>C54</f>
        <v>0</v>
      </c>
      <c r="D55" s="346">
        <f>D54</f>
        <v>0</v>
      </c>
      <c r="E55" s="347">
        <f>E54</f>
        <v>0</v>
      </c>
      <c r="F55" s="345">
        <f>F54</f>
        <v>118033.4</v>
      </c>
      <c r="G55" s="346">
        <f>G54</f>
        <v>1E-3</v>
      </c>
      <c r="H55" s="346">
        <f>H54</f>
        <v>1E-3</v>
      </c>
      <c r="I55" s="347">
        <f>I54</f>
        <v>118033.402</v>
      </c>
    </row>
    <row r="56" spans="1:11" ht="14.25" customHeight="1">
      <c r="K56" s="63">
        <f>AVERAGE(M35,I35,G35,F35)</f>
        <v>7.4999999999999989E-3</v>
      </c>
    </row>
    <row r="57" spans="1:11" ht="14.25" customHeight="1">
      <c r="E57" s="207">
        <f>E36+K36</f>
        <v>0</v>
      </c>
    </row>
    <row r="59" spans="1:11" ht="14.25" customHeight="1">
      <c r="D59" s="207">
        <f>E36+K36</f>
        <v>0</v>
      </c>
    </row>
  </sheetData>
  <mergeCells count="14">
    <mergeCell ref="A2:I2"/>
    <mergeCell ref="A3:E3"/>
    <mergeCell ref="F3:I3"/>
    <mergeCell ref="M3:P3"/>
    <mergeCell ref="A20:L20"/>
    <mergeCell ref="M21:N21"/>
    <mergeCell ref="A40:A41"/>
    <mergeCell ref="B40:E40"/>
    <mergeCell ref="F40:I40"/>
    <mergeCell ref="A21:A22"/>
    <mergeCell ref="B21:E21"/>
    <mergeCell ref="F21:I21"/>
    <mergeCell ref="J21:J22"/>
    <mergeCell ref="K21:L21"/>
  </mergeCells>
  <pageMargins left="0.7" right="0.7" top="0.75" bottom="0.75" header="0.511811023622047" footer="0.511811023622047"/>
  <pageSetup paperSize="9" orientation="portrait" horizontalDpi="300" verticalDpi="30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W83"/>
  <sheetViews>
    <sheetView zoomScaleNormal="100" workbookViewId="0"/>
  </sheetViews>
  <sheetFormatPr defaultColWidth="8.7109375" defaultRowHeight="15"/>
  <cols>
    <col min="1" max="1" width="13.85546875" customWidth="1"/>
    <col min="2" max="2" width="21.28515625" customWidth="1"/>
    <col min="4" max="4" width="14.7109375" customWidth="1"/>
    <col min="9" max="9" width="14.85546875" customWidth="1"/>
    <col min="10" max="10" width="17.5703125" customWidth="1"/>
    <col min="12" max="12" width="9.85546875" customWidth="1"/>
    <col min="13" max="13" width="10.140625" customWidth="1"/>
  </cols>
  <sheetData>
    <row r="1" spans="1:23" ht="14.25" customHeight="1">
      <c r="A1" s="574" t="s">
        <v>262</v>
      </c>
      <c r="B1" s="574"/>
      <c r="C1" s="574"/>
      <c r="D1" s="574"/>
      <c r="E1" s="574"/>
      <c r="F1" s="574"/>
      <c r="G1" s="574"/>
      <c r="H1" s="574"/>
      <c r="I1" s="574" t="s">
        <v>263</v>
      </c>
      <c r="J1" s="574"/>
      <c r="K1" s="574"/>
      <c r="L1" s="574"/>
      <c r="M1" s="574"/>
      <c r="N1" s="574"/>
      <c r="O1" s="574"/>
      <c r="P1" s="574"/>
      <c r="Q1" s="574"/>
    </row>
    <row r="3" spans="1:23" ht="14.25" customHeight="1">
      <c r="A3" s="594" t="s">
        <v>226</v>
      </c>
      <c r="B3" s="594"/>
      <c r="C3" s="594"/>
      <c r="D3" s="85"/>
      <c r="E3" s="85"/>
      <c r="F3" s="85"/>
      <c r="G3" s="85"/>
      <c r="H3" s="85"/>
      <c r="I3" s="594" t="s">
        <v>73</v>
      </c>
      <c r="J3" s="594"/>
      <c r="K3" s="594"/>
      <c r="L3" s="85"/>
      <c r="M3" s="85"/>
      <c r="N3" s="85"/>
      <c r="O3" s="85"/>
      <c r="P3" s="85"/>
      <c r="Q3" s="85"/>
    </row>
    <row r="4" spans="1:23" ht="14.25" customHeight="1">
      <c r="A4" s="324" t="s">
        <v>11</v>
      </c>
      <c r="B4" s="349" t="s">
        <v>101</v>
      </c>
      <c r="C4" s="350"/>
      <c r="D4" s="85"/>
      <c r="E4" s="85"/>
      <c r="F4" s="85"/>
      <c r="G4" s="85"/>
      <c r="H4" s="85"/>
      <c r="I4" s="313" t="s">
        <v>11</v>
      </c>
      <c r="J4" s="351" t="s">
        <v>74</v>
      </c>
      <c r="K4" s="315"/>
    </row>
    <row r="5" spans="1:23" ht="14.25" customHeight="1">
      <c r="A5" s="313" t="s">
        <v>35</v>
      </c>
      <c r="B5" s="351" t="s">
        <v>228</v>
      </c>
      <c r="C5" s="315"/>
      <c r="D5" s="85"/>
      <c r="E5" s="85"/>
      <c r="F5" s="85"/>
      <c r="G5" s="85"/>
      <c r="H5" s="85"/>
      <c r="I5" s="313" t="s">
        <v>35</v>
      </c>
      <c r="J5" s="351" t="s">
        <v>75</v>
      </c>
      <c r="K5" s="315"/>
      <c r="L5" s="85"/>
      <c r="M5" s="85"/>
      <c r="N5" s="85"/>
      <c r="O5" s="85"/>
      <c r="P5" s="85"/>
      <c r="Q5" s="85"/>
    </row>
    <row r="6" spans="1:23" ht="14.25" customHeight="1">
      <c r="A6" s="313" t="s">
        <v>14</v>
      </c>
      <c r="B6" s="85" t="s">
        <v>264</v>
      </c>
      <c r="C6" s="315"/>
      <c r="D6" s="85"/>
      <c r="E6" s="85"/>
      <c r="F6" s="85"/>
      <c r="G6" s="85"/>
      <c r="H6" s="85"/>
      <c r="I6" s="313" t="s">
        <v>14</v>
      </c>
      <c r="J6" s="351" t="s">
        <v>265</v>
      </c>
      <c r="K6" s="315"/>
      <c r="L6" s="85"/>
      <c r="M6" s="85"/>
      <c r="N6" s="85"/>
      <c r="O6" s="85"/>
      <c r="P6" s="85"/>
      <c r="Q6" s="85"/>
    </row>
    <row r="7" spans="1:23" ht="14.25" customHeight="1">
      <c r="A7" s="313" t="s">
        <v>16</v>
      </c>
      <c r="B7" s="351" t="s">
        <v>104</v>
      </c>
      <c r="C7" s="315"/>
      <c r="D7" s="85"/>
      <c r="E7" s="85"/>
      <c r="F7" s="85"/>
      <c r="G7" s="85"/>
      <c r="H7" s="85"/>
      <c r="I7" s="313" t="s">
        <v>16</v>
      </c>
      <c r="J7" s="351" t="s">
        <v>266</v>
      </c>
      <c r="K7" s="315"/>
      <c r="L7" s="85"/>
      <c r="M7" s="85"/>
      <c r="N7" s="85"/>
      <c r="O7" s="85"/>
      <c r="P7" s="85"/>
      <c r="Q7" s="85"/>
    </row>
    <row r="8" spans="1:23" ht="14.25" customHeight="1">
      <c r="A8" s="313" t="s">
        <v>15</v>
      </c>
      <c r="B8" s="351" t="s">
        <v>105</v>
      </c>
      <c r="C8" s="315"/>
      <c r="D8" s="85"/>
      <c r="E8" s="85"/>
      <c r="F8" s="85"/>
      <c r="G8" s="85"/>
      <c r="H8" s="85"/>
      <c r="I8" s="313" t="s">
        <v>15</v>
      </c>
      <c r="J8" s="351" t="s">
        <v>79</v>
      </c>
      <c r="K8" s="315"/>
      <c r="L8" s="85"/>
      <c r="M8" s="85"/>
      <c r="N8" s="85"/>
      <c r="O8" s="85"/>
      <c r="P8" s="85"/>
      <c r="Q8" s="85"/>
    </row>
    <row r="9" spans="1:23" ht="14.25" customHeight="1">
      <c r="A9" s="319" t="s">
        <v>267</v>
      </c>
      <c r="B9" s="352" t="s">
        <v>106</v>
      </c>
      <c r="C9" s="321"/>
      <c r="D9" s="85"/>
      <c r="E9" s="85"/>
      <c r="F9" s="85"/>
      <c r="G9" s="85"/>
      <c r="H9" s="85"/>
      <c r="I9" s="319" t="s">
        <v>267</v>
      </c>
      <c r="J9" s="352" t="s">
        <v>268</v>
      </c>
      <c r="K9" s="321"/>
      <c r="L9" s="85"/>
      <c r="M9" s="85"/>
      <c r="N9" s="85"/>
      <c r="O9" s="85"/>
      <c r="P9" s="85"/>
      <c r="Q9" s="85"/>
    </row>
    <row r="10" spans="1:23" ht="14.25" customHeight="1">
      <c r="A10" s="316" t="s">
        <v>18</v>
      </c>
      <c r="B10" s="317" t="s">
        <v>269</v>
      </c>
      <c r="C10" s="317" t="s">
        <v>236</v>
      </c>
      <c r="D10" s="318"/>
      <c r="E10" s="85"/>
      <c r="F10" s="85"/>
      <c r="G10" s="85"/>
      <c r="I10" s="316" t="s">
        <v>18</v>
      </c>
      <c r="J10" s="320" t="s">
        <v>237</v>
      </c>
      <c r="K10" s="321" t="s">
        <v>236</v>
      </c>
      <c r="M10" s="85"/>
      <c r="N10" s="85"/>
      <c r="O10" s="85"/>
      <c r="P10" s="85"/>
      <c r="Q10" s="85"/>
    </row>
    <row r="11" spans="1:23" ht="14.25" customHeight="1">
      <c r="L11" s="85"/>
      <c r="M11" s="85"/>
      <c r="N11" s="85"/>
      <c r="O11" s="85"/>
      <c r="P11" s="85"/>
      <c r="Q11" s="85"/>
    </row>
    <row r="12" spans="1:23" ht="14.25" customHeight="1">
      <c r="A12" s="353" t="s">
        <v>107</v>
      </c>
      <c r="B12" s="354">
        <f>SUM('Palo Seco'!B10:E10)</f>
        <v>12237914</v>
      </c>
      <c r="C12" s="355" t="s">
        <v>83</v>
      </c>
      <c r="D12" s="85"/>
      <c r="E12" s="85"/>
      <c r="F12" s="85"/>
      <c r="G12" s="85"/>
      <c r="H12" s="85"/>
      <c r="I12" s="353" t="s">
        <v>82</v>
      </c>
      <c r="J12" s="354">
        <f>SUM('Palo Seco'!B28:E28)</f>
        <v>473204</v>
      </c>
      <c r="K12" s="355" t="s">
        <v>83</v>
      </c>
      <c r="L12" s="85"/>
      <c r="M12" s="85"/>
      <c r="N12" s="85"/>
      <c r="O12" s="85"/>
      <c r="P12" s="85"/>
      <c r="Q12" s="85"/>
    </row>
    <row r="13" spans="1:23" ht="14.25" customHeight="1">
      <c r="A13" s="353" t="s">
        <v>84</v>
      </c>
      <c r="B13" s="354">
        <f>AVERAGE('Palo Seco'!F10:I10)</f>
        <v>0.45</v>
      </c>
      <c r="C13" s="355"/>
      <c r="D13" s="356"/>
      <c r="E13" s="85"/>
      <c r="F13" s="85"/>
      <c r="G13" s="85"/>
      <c r="H13" s="85"/>
      <c r="I13" s="353" t="s">
        <v>84</v>
      </c>
      <c r="J13" s="357">
        <f>AVERAGE('Palo Seco'!F28:I28)</f>
        <v>0.01</v>
      </c>
      <c r="K13" s="355"/>
      <c r="L13" s="85"/>
      <c r="M13" s="85"/>
      <c r="N13" s="85"/>
      <c r="O13" s="85"/>
      <c r="P13" s="85"/>
      <c r="Q13" s="85"/>
      <c r="V13">
        <f>(867406.4)*2204.6/77635189</f>
        <v>24.631667341468056</v>
      </c>
      <c r="W13" t="s">
        <v>123</v>
      </c>
    </row>
    <row r="14" spans="1:23" ht="14.25" customHeight="1">
      <c r="V14">
        <f>(73.96+0.003*25+0.0006*298)*2.2046*0.138</f>
        <v>22.578420600240001</v>
      </c>
      <c r="W14" t="s">
        <v>123</v>
      </c>
    </row>
    <row r="16" spans="1:23" ht="14.25" customHeight="1">
      <c r="A16" s="85" t="s">
        <v>85</v>
      </c>
      <c r="B16" s="85"/>
      <c r="C16" s="85"/>
      <c r="D16" s="85"/>
      <c r="E16" s="85"/>
      <c r="F16" s="85"/>
      <c r="G16" s="85"/>
      <c r="H16" s="85"/>
      <c r="I16" s="85" t="s">
        <v>85</v>
      </c>
      <c r="J16" s="85"/>
      <c r="K16" s="85"/>
      <c r="L16" s="85"/>
      <c r="M16" s="85"/>
      <c r="N16" s="85"/>
      <c r="O16" s="85"/>
      <c r="P16" s="85"/>
      <c r="Q16" s="85"/>
    </row>
    <row r="18" spans="1:17" ht="14.25" customHeight="1">
      <c r="A18" s="108" t="s">
        <v>86</v>
      </c>
      <c r="B18" s="358">
        <f>(9.19*B13)+3.22</f>
        <v>7.3554999999999993</v>
      </c>
      <c r="C18" s="349" t="s">
        <v>87</v>
      </c>
      <c r="D18" s="359">
        <f>B12</f>
        <v>12237914</v>
      </c>
      <c r="E18" s="349" t="s">
        <v>88</v>
      </c>
      <c r="F18" s="592" t="s">
        <v>90</v>
      </c>
      <c r="G18" s="592"/>
      <c r="H18" s="235"/>
      <c r="I18" s="108" t="s">
        <v>86</v>
      </c>
      <c r="J18" s="360">
        <v>1.2E-2</v>
      </c>
      <c r="K18" s="349" t="s">
        <v>87</v>
      </c>
      <c r="L18" s="361">
        <f>J12</f>
        <v>473204</v>
      </c>
      <c r="M18" s="349" t="s">
        <v>88</v>
      </c>
      <c r="N18" s="360">
        <v>0.13800000000000001</v>
      </c>
      <c r="O18" s="349" t="s">
        <v>89</v>
      </c>
      <c r="P18" s="556"/>
      <c r="Q18" s="362" t="s">
        <v>90</v>
      </c>
    </row>
    <row r="19" spans="1:17" ht="14.25" customHeight="1">
      <c r="A19" s="85"/>
      <c r="B19" s="557">
        <v>1000</v>
      </c>
      <c r="C19" s="226" t="s">
        <v>88</v>
      </c>
      <c r="D19" s="593" t="s">
        <v>59</v>
      </c>
      <c r="E19" s="593"/>
      <c r="F19" s="235">
        <v>2000</v>
      </c>
      <c r="G19" s="85" t="s">
        <v>87</v>
      </c>
      <c r="H19" s="235"/>
      <c r="I19" s="85"/>
      <c r="J19" s="363"/>
      <c r="K19" s="364" t="s">
        <v>89</v>
      </c>
      <c r="L19" s="557"/>
      <c r="M19" s="226" t="s">
        <v>59</v>
      </c>
      <c r="N19" s="557"/>
      <c r="O19" s="226" t="s">
        <v>88</v>
      </c>
      <c r="P19" s="235">
        <v>2000</v>
      </c>
      <c r="Q19" s="365" t="s">
        <v>87</v>
      </c>
    </row>
    <row r="22" spans="1:17" ht="14.25" customHeight="1">
      <c r="A22" s="108" t="s">
        <v>86</v>
      </c>
      <c r="B22" s="123">
        <f>((B18/B19)*D18)/F19</f>
        <v>45.007988213499992</v>
      </c>
      <c r="C22" s="115" t="s">
        <v>90</v>
      </c>
      <c r="D22" s="108" t="s">
        <v>86</v>
      </c>
      <c r="E22" s="123">
        <f>B22*2000/8760</f>
        <v>10.275796395776254</v>
      </c>
      <c r="F22" s="115" t="s">
        <v>87</v>
      </c>
      <c r="G22" s="85"/>
      <c r="H22" s="85"/>
      <c r="I22" s="108" t="s">
        <v>86</v>
      </c>
      <c r="J22" s="114">
        <f>(J18*L18*N18)/P19</f>
        <v>0.39181291200000001</v>
      </c>
      <c r="K22" s="115" t="s">
        <v>90</v>
      </c>
      <c r="L22" s="108" t="s">
        <v>86</v>
      </c>
      <c r="M22" s="114">
        <f>J22*(2000/8760)</f>
        <v>8.9455002739726022E-2</v>
      </c>
      <c r="N22" s="115" t="s">
        <v>87</v>
      </c>
      <c r="O22" s="85"/>
      <c r="P22" s="85"/>
      <c r="Q22" s="85"/>
    </row>
    <row r="23" spans="1:17" ht="14.25" customHeight="1">
      <c r="A23" s="85"/>
      <c r="B23" s="85"/>
      <c r="C23" s="118" t="s">
        <v>59</v>
      </c>
      <c r="D23" s="85"/>
      <c r="E23" s="85"/>
      <c r="F23" s="118" t="s">
        <v>92</v>
      </c>
      <c r="G23" s="85"/>
      <c r="H23" s="85"/>
      <c r="I23" s="85"/>
      <c r="J23" s="85"/>
      <c r="K23" s="118" t="s">
        <v>59</v>
      </c>
      <c r="L23" s="85"/>
      <c r="M23" s="85"/>
      <c r="N23" s="118" t="s">
        <v>92</v>
      </c>
      <c r="O23" s="85"/>
      <c r="P23" s="85"/>
      <c r="Q23" s="85"/>
    </row>
    <row r="26" spans="1:17" ht="14.25" customHeight="1">
      <c r="A26" s="85" t="s">
        <v>93</v>
      </c>
      <c r="B26" s="85"/>
      <c r="C26" s="85"/>
      <c r="D26" s="85"/>
      <c r="E26" s="85"/>
      <c r="F26" s="85"/>
      <c r="G26" s="85"/>
      <c r="H26" s="85"/>
      <c r="I26" s="85" t="s">
        <v>93</v>
      </c>
      <c r="J26" s="85"/>
      <c r="K26" s="85"/>
      <c r="L26" s="85"/>
      <c r="M26" s="85"/>
      <c r="N26" s="85"/>
      <c r="O26" s="85"/>
      <c r="P26" s="85"/>
      <c r="Q26" s="85"/>
    </row>
    <row r="27" spans="1:17" ht="14.25" customHeight="1">
      <c r="B27" s="366"/>
    </row>
    <row r="28" spans="1:17" ht="14.25" customHeight="1">
      <c r="A28" s="108" t="s">
        <v>86</v>
      </c>
      <c r="B28" s="367">
        <f>157*B13</f>
        <v>70.650000000000006</v>
      </c>
      <c r="C28" s="349" t="s">
        <v>87</v>
      </c>
      <c r="D28" s="359">
        <f>B12</f>
        <v>12237914</v>
      </c>
      <c r="E28" s="349" t="s">
        <v>88</v>
      </c>
      <c r="F28" s="592" t="s">
        <v>90</v>
      </c>
      <c r="G28" s="592"/>
      <c r="H28" s="235"/>
      <c r="I28" s="108" t="s">
        <v>86</v>
      </c>
      <c r="J28" s="368">
        <f>1.01*J13</f>
        <v>1.01E-2</v>
      </c>
      <c r="K28" s="349" t="s">
        <v>87</v>
      </c>
      <c r="L28" s="361">
        <f>J12</f>
        <v>473204</v>
      </c>
      <c r="M28" s="349" t="s">
        <v>88</v>
      </c>
      <c r="N28" s="360">
        <v>0.13800000000000001</v>
      </c>
      <c r="O28" s="349" t="s">
        <v>89</v>
      </c>
      <c r="P28" s="556"/>
      <c r="Q28" s="362" t="s">
        <v>90</v>
      </c>
    </row>
    <row r="29" spans="1:17" ht="14.25" customHeight="1">
      <c r="A29" s="85"/>
      <c r="B29" s="557">
        <v>1000</v>
      </c>
      <c r="C29" s="226" t="s">
        <v>88</v>
      </c>
      <c r="D29" s="593" t="s">
        <v>59</v>
      </c>
      <c r="E29" s="593"/>
      <c r="F29" s="235">
        <v>2000</v>
      </c>
      <c r="G29" s="85" t="s">
        <v>87</v>
      </c>
      <c r="H29" s="235"/>
      <c r="I29" s="85"/>
      <c r="J29" s="363"/>
      <c r="K29" s="364" t="s">
        <v>89</v>
      </c>
      <c r="L29" s="557"/>
      <c r="M29" s="226" t="s">
        <v>59</v>
      </c>
      <c r="N29" s="557"/>
      <c r="O29" s="226" t="s">
        <v>88</v>
      </c>
      <c r="P29" s="235">
        <v>2000</v>
      </c>
      <c r="Q29" s="365" t="s">
        <v>87</v>
      </c>
    </row>
    <row r="32" spans="1:17" ht="14.25" customHeight="1">
      <c r="A32" s="108" t="s">
        <v>86</v>
      </c>
      <c r="B32" s="123">
        <f>((B28/B29)*D28)/F29</f>
        <v>432.30431205000002</v>
      </c>
      <c r="C32" s="115" t="s">
        <v>90</v>
      </c>
      <c r="D32" s="108" t="s">
        <v>86</v>
      </c>
      <c r="E32" s="123">
        <f>B32*(2000/8760)</f>
        <v>98.699614623287673</v>
      </c>
      <c r="F32" s="115" t="s">
        <v>87</v>
      </c>
      <c r="G32" s="85"/>
      <c r="H32" s="85"/>
      <c r="I32" s="108" t="s">
        <v>86</v>
      </c>
      <c r="J32" s="123">
        <f>(J28*L28*N28)/P29</f>
        <v>0.32977586760000005</v>
      </c>
      <c r="K32" s="115" t="s">
        <v>90</v>
      </c>
      <c r="L32" s="108" t="s">
        <v>86</v>
      </c>
      <c r="M32" s="123">
        <f>J32*(2000/8760)</f>
        <v>7.5291293972602744E-2</v>
      </c>
      <c r="N32" s="115" t="s">
        <v>87</v>
      </c>
      <c r="O32" s="85"/>
      <c r="P32" s="85"/>
      <c r="Q32" s="85"/>
    </row>
    <row r="33" spans="1:17" ht="14.25" customHeight="1">
      <c r="A33" s="85"/>
      <c r="B33" s="85"/>
      <c r="C33" s="118" t="s">
        <v>59</v>
      </c>
      <c r="D33" s="85"/>
      <c r="E33" s="85"/>
      <c r="F33" s="118" t="s">
        <v>92</v>
      </c>
      <c r="G33" s="85"/>
      <c r="H33" s="85"/>
      <c r="I33" s="85"/>
      <c r="J33" s="85"/>
      <c r="K33" s="118" t="s">
        <v>59</v>
      </c>
      <c r="L33" s="85"/>
      <c r="M33" s="85"/>
      <c r="N33" s="118" t="s">
        <v>92</v>
      </c>
      <c r="O33" s="85"/>
      <c r="P33" s="85"/>
      <c r="Q33" s="85"/>
    </row>
    <row r="36" spans="1:17" ht="14.25" customHeight="1">
      <c r="A36" s="85" t="s">
        <v>94</v>
      </c>
      <c r="B36" s="85"/>
      <c r="C36" s="85"/>
      <c r="D36" s="85"/>
      <c r="E36" s="85"/>
      <c r="F36" s="85"/>
      <c r="G36" s="85"/>
      <c r="H36" s="85"/>
      <c r="I36" s="85" t="s">
        <v>94</v>
      </c>
      <c r="J36" s="85"/>
      <c r="K36" s="85"/>
      <c r="L36" s="85"/>
      <c r="M36" s="85"/>
      <c r="N36" s="85"/>
      <c r="O36" s="85"/>
      <c r="P36" s="85"/>
      <c r="Q36" s="85"/>
    </row>
    <row r="38" spans="1:17" ht="14.25" customHeight="1">
      <c r="A38" s="108" t="s">
        <v>86</v>
      </c>
      <c r="B38" s="234">
        <v>0.33</v>
      </c>
      <c r="C38" s="110" t="s">
        <v>87</v>
      </c>
      <c r="D38" s="111">
        <f>B12</f>
        <v>12237914</v>
      </c>
      <c r="E38" s="110" t="s">
        <v>88</v>
      </c>
      <c r="F38" s="575" t="s">
        <v>238</v>
      </c>
      <c r="G38" s="575"/>
      <c r="H38" s="575" t="s">
        <v>90</v>
      </c>
      <c r="I38" s="575"/>
      <c r="J38" s="360">
        <v>0.88</v>
      </c>
      <c r="K38" s="349" t="s">
        <v>87</v>
      </c>
      <c r="L38" s="361">
        <f>J12</f>
        <v>473204</v>
      </c>
      <c r="M38" s="349" t="s">
        <v>88</v>
      </c>
      <c r="N38" s="360">
        <v>0.13800000000000001</v>
      </c>
      <c r="O38" s="349" t="s">
        <v>89</v>
      </c>
      <c r="P38" s="556"/>
      <c r="Q38" s="362" t="s">
        <v>90</v>
      </c>
    </row>
    <row r="39" spans="1:17" ht="14.25" customHeight="1">
      <c r="A39" s="85"/>
      <c r="B39" s="113"/>
      <c r="C39" s="107" t="s">
        <v>140</v>
      </c>
      <c r="D39" s="576" t="s">
        <v>59</v>
      </c>
      <c r="E39" s="576"/>
      <c r="F39" s="113" t="s">
        <v>88</v>
      </c>
      <c r="G39" s="107"/>
      <c r="H39" s="113">
        <v>2000</v>
      </c>
      <c r="I39" s="107" t="s">
        <v>87</v>
      </c>
      <c r="J39" s="363"/>
      <c r="K39" s="364" t="s">
        <v>89</v>
      </c>
      <c r="L39" s="557"/>
      <c r="M39" s="226" t="s">
        <v>59</v>
      </c>
      <c r="N39" s="557"/>
      <c r="O39" s="226" t="s">
        <v>88</v>
      </c>
      <c r="P39" s="235">
        <v>2000</v>
      </c>
      <c r="Q39" s="365" t="s">
        <v>87</v>
      </c>
    </row>
    <row r="42" spans="1:17" ht="14.25" customHeight="1">
      <c r="A42" s="108" t="s">
        <v>86</v>
      </c>
      <c r="B42" s="123">
        <f>B38*D38*0.15/2000</f>
        <v>302.88837150000001</v>
      </c>
      <c r="C42" s="115" t="s">
        <v>90</v>
      </c>
      <c r="D42" s="85"/>
      <c r="E42" s="85"/>
      <c r="F42" s="85"/>
      <c r="G42" s="85"/>
      <c r="J42" s="123">
        <f>(J38*L38*N38)/P39</f>
        <v>28.732946880000004</v>
      </c>
      <c r="K42" s="115" t="s">
        <v>90</v>
      </c>
      <c r="L42" s="108" t="s">
        <v>86</v>
      </c>
      <c r="M42" s="123">
        <f>J42*(2000/8760)</f>
        <v>6.5600335342465756</v>
      </c>
      <c r="N42" s="115" t="s">
        <v>87</v>
      </c>
      <c r="O42" s="85"/>
      <c r="P42" s="85"/>
      <c r="Q42" s="85"/>
    </row>
    <row r="43" spans="1:17" ht="14.25" customHeight="1">
      <c r="A43" s="85"/>
      <c r="B43" s="85"/>
      <c r="C43" s="118" t="s">
        <v>59</v>
      </c>
      <c r="D43" s="85"/>
      <c r="E43" s="85"/>
      <c r="F43" s="85"/>
      <c r="G43" s="85"/>
      <c r="J43" s="85"/>
      <c r="K43" s="118" t="s">
        <v>59</v>
      </c>
      <c r="L43" s="85"/>
      <c r="M43" s="85"/>
      <c r="N43" s="118" t="s">
        <v>92</v>
      </c>
      <c r="O43" s="85"/>
      <c r="P43" s="85"/>
      <c r="Q43" s="85"/>
    </row>
    <row r="46" spans="1:17" ht="14.25" customHeight="1">
      <c r="A46" s="85" t="s">
        <v>95</v>
      </c>
      <c r="B46" s="85"/>
      <c r="C46" s="85"/>
      <c r="D46" s="85"/>
      <c r="E46" s="85"/>
      <c r="F46" s="85"/>
      <c r="G46" s="85"/>
      <c r="H46" s="85"/>
      <c r="I46" s="85" t="s">
        <v>95</v>
      </c>
      <c r="J46" s="85"/>
      <c r="K46" s="85"/>
      <c r="L46" s="85"/>
      <c r="M46" s="85"/>
      <c r="N46" s="85"/>
      <c r="O46" s="85"/>
      <c r="P46" s="85"/>
      <c r="Q46" s="85"/>
    </row>
    <row r="48" spans="1:17" ht="14.25" customHeight="1">
      <c r="A48" s="108" t="s">
        <v>86</v>
      </c>
      <c r="B48" s="556">
        <v>0.76</v>
      </c>
      <c r="C48" s="349" t="s">
        <v>87</v>
      </c>
      <c r="D48" s="361">
        <f>B12</f>
        <v>12237914</v>
      </c>
      <c r="E48" s="349" t="s">
        <v>88</v>
      </c>
      <c r="F48" s="592" t="s">
        <v>90</v>
      </c>
      <c r="G48" s="592"/>
      <c r="H48" s="235"/>
      <c r="I48" s="108" t="s">
        <v>86</v>
      </c>
      <c r="J48" s="360">
        <v>4.0999999999999999E-4</v>
      </c>
      <c r="K48" s="349" t="s">
        <v>87</v>
      </c>
      <c r="L48" s="361">
        <f>J12</f>
        <v>473204</v>
      </c>
      <c r="M48" s="349" t="s">
        <v>88</v>
      </c>
      <c r="N48" s="360">
        <v>0.13800000000000001</v>
      </c>
      <c r="O48" s="349" t="s">
        <v>89</v>
      </c>
      <c r="P48" s="556"/>
      <c r="Q48" s="362" t="s">
        <v>90</v>
      </c>
    </row>
    <row r="49" spans="1:17" ht="14.25" customHeight="1">
      <c r="A49" s="85"/>
      <c r="B49" s="557">
        <v>1000</v>
      </c>
      <c r="C49" s="226" t="s">
        <v>88</v>
      </c>
      <c r="D49" s="593" t="s">
        <v>59</v>
      </c>
      <c r="E49" s="593"/>
      <c r="F49" s="235">
        <v>2000</v>
      </c>
      <c r="G49" s="85" t="s">
        <v>87</v>
      </c>
      <c r="H49" s="235"/>
      <c r="I49" s="85"/>
      <c r="J49" s="363"/>
      <c r="K49" s="364" t="s">
        <v>89</v>
      </c>
      <c r="L49" s="557"/>
      <c r="M49" s="226" t="s">
        <v>59</v>
      </c>
      <c r="N49" s="557"/>
      <c r="O49" s="226" t="s">
        <v>88</v>
      </c>
      <c r="P49" s="235">
        <v>2000</v>
      </c>
      <c r="Q49" s="365" t="s">
        <v>87</v>
      </c>
    </row>
    <row r="52" spans="1:17" ht="14.25" customHeight="1">
      <c r="A52" s="108" t="s">
        <v>86</v>
      </c>
      <c r="B52" s="123">
        <f>((B48/B49)*D48)/F49</f>
        <v>4.6504073200000002</v>
      </c>
      <c r="C52" s="115" t="s">
        <v>90</v>
      </c>
      <c r="D52" s="108" t="s">
        <v>86</v>
      </c>
      <c r="E52" s="123">
        <f>B52*(2000/8760)</f>
        <v>1.0617368310502282</v>
      </c>
      <c r="F52" s="115" t="s">
        <v>87</v>
      </c>
      <c r="G52" s="85"/>
      <c r="H52" s="85"/>
      <c r="I52" s="108" t="s">
        <v>86</v>
      </c>
      <c r="J52" s="114">
        <f>(J48*L48*N48)/P49</f>
        <v>1.3386941160000001E-2</v>
      </c>
      <c r="K52" s="115" t="s">
        <v>90</v>
      </c>
      <c r="L52" s="108" t="s">
        <v>86</v>
      </c>
      <c r="M52" s="114">
        <f>J52*(2000/8760)</f>
        <v>3.0563792602739726E-3</v>
      </c>
      <c r="N52" s="115" t="s">
        <v>87</v>
      </c>
      <c r="O52" s="85"/>
      <c r="P52" s="85"/>
      <c r="Q52" s="85"/>
    </row>
    <row r="53" spans="1:17" ht="14.25" customHeight="1">
      <c r="A53" s="85"/>
      <c r="B53" s="85"/>
      <c r="C53" s="118" t="s">
        <v>59</v>
      </c>
      <c r="D53" s="85"/>
      <c r="E53" s="85"/>
      <c r="F53" s="118" t="s">
        <v>92</v>
      </c>
      <c r="G53" s="85"/>
      <c r="H53" s="85"/>
      <c r="I53" s="85"/>
      <c r="J53" s="85"/>
      <c r="K53" s="118" t="s">
        <v>59</v>
      </c>
      <c r="L53" s="85"/>
      <c r="M53" s="85"/>
      <c r="N53" s="118" t="s">
        <v>92</v>
      </c>
      <c r="O53" s="85"/>
      <c r="P53" s="85"/>
      <c r="Q53" s="85"/>
    </row>
    <row r="56" spans="1:17" ht="14.25" customHeight="1">
      <c r="A56" s="85" t="s">
        <v>96</v>
      </c>
      <c r="B56" s="85"/>
      <c r="C56" s="85"/>
      <c r="D56" s="85"/>
      <c r="E56" s="85"/>
      <c r="F56" s="85"/>
      <c r="G56" s="85"/>
      <c r="H56" s="85"/>
      <c r="I56" s="85" t="s">
        <v>96</v>
      </c>
      <c r="J56" s="85"/>
      <c r="K56" s="85"/>
      <c r="L56" s="85"/>
      <c r="M56" s="85"/>
      <c r="N56" s="85"/>
      <c r="O56" s="85"/>
      <c r="P56" s="85"/>
      <c r="Q56" s="85"/>
    </row>
    <row r="58" spans="1:17" ht="14.25" customHeight="1">
      <c r="A58" s="108" t="s">
        <v>86</v>
      </c>
      <c r="B58" s="556">
        <v>5</v>
      </c>
      <c r="C58" s="349" t="s">
        <v>87</v>
      </c>
      <c r="D58" s="361">
        <f>B12</f>
        <v>12237914</v>
      </c>
      <c r="E58" s="349" t="s">
        <v>88</v>
      </c>
      <c r="F58" s="592" t="s">
        <v>90</v>
      </c>
      <c r="G58" s="592"/>
      <c r="H58" s="235"/>
      <c r="I58" s="108" t="s">
        <v>86</v>
      </c>
      <c r="J58" s="360">
        <v>3.3E-3</v>
      </c>
      <c r="K58" s="349" t="s">
        <v>87</v>
      </c>
      <c r="L58" s="361">
        <f>J12</f>
        <v>473204</v>
      </c>
      <c r="M58" s="349" t="s">
        <v>88</v>
      </c>
      <c r="N58" s="360">
        <v>0.13800000000000001</v>
      </c>
      <c r="O58" s="349" t="s">
        <v>89</v>
      </c>
      <c r="P58" s="556"/>
      <c r="Q58" s="362" t="s">
        <v>90</v>
      </c>
    </row>
    <row r="59" spans="1:17" ht="14.25" customHeight="1">
      <c r="A59" s="85"/>
      <c r="B59" s="557">
        <v>1000</v>
      </c>
      <c r="C59" s="226" t="s">
        <v>88</v>
      </c>
      <c r="D59" s="593" t="s">
        <v>59</v>
      </c>
      <c r="E59" s="593"/>
      <c r="F59" s="235">
        <v>2000</v>
      </c>
      <c r="G59" s="85" t="s">
        <v>87</v>
      </c>
      <c r="H59" s="235"/>
      <c r="I59" s="85"/>
      <c r="J59" s="363"/>
      <c r="K59" s="364" t="s">
        <v>89</v>
      </c>
      <c r="L59" s="557"/>
      <c r="M59" s="226" t="s">
        <v>59</v>
      </c>
      <c r="N59" s="557"/>
      <c r="O59" s="226" t="s">
        <v>88</v>
      </c>
      <c r="P59" s="235">
        <v>2000</v>
      </c>
      <c r="Q59" s="365" t="s">
        <v>87</v>
      </c>
    </row>
    <row r="62" spans="1:17" ht="14.25" customHeight="1">
      <c r="A62" s="108" t="s">
        <v>86</v>
      </c>
      <c r="B62" s="114">
        <f>((B58/B59)*D58)/F59</f>
        <v>30.594784999999998</v>
      </c>
      <c r="C62" s="115" t="s">
        <v>90</v>
      </c>
      <c r="D62" s="108" t="s">
        <v>86</v>
      </c>
      <c r="E62" s="114">
        <f>B62*(2000/8760)</f>
        <v>6.9851107305936067</v>
      </c>
      <c r="F62" s="115" t="s">
        <v>87</v>
      </c>
      <c r="G62" s="85"/>
      <c r="H62" s="85"/>
      <c r="I62" s="108" t="s">
        <v>86</v>
      </c>
      <c r="J62" s="114">
        <f>(J58*L58*N58)/P59</f>
        <v>0.10774855080000002</v>
      </c>
      <c r="K62" s="115" t="s">
        <v>90</v>
      </c>
      <c r="L62" s="108" t="s">
        <v>86</v>
      </c>
      <c r="M62" s="114">
        <f>J62*(2000/8760)</f>
        <v>2.460012575342466E-2</v>
      </c>
      <c r="N62" s="115" t="s">
        <v>87</v>
      </c>
      <c r="O62" s="85"/>
      <c r="P62" s="85"/>
      <c r="Q62" s="85"/>
    </row>
    <row r="63" spans="1:17" ht="14.25" customHeight="1">
      <c r="A63" s="85"/>
      <c r="B63" s="85"/>
      <c r="C63" s="118" t="s">
        <v>59</v>
      </c>
      <c r="D63" s="85"/>
      <c r="E63" s="85"/>
      <c r="F63" s="118" t="s">
        <v>92</v>
      </c>
      <c r="G63" s="85"/>
      <c r="H63" s="85"/>
      <c r="I63" s="85"/>
      <c r="J63" s="85"/>
      <c r="K63" s="118" t="s">
        <v>59</v>
      </c>
      <c r="L63" s="85"/>
      <c r="M63" s="85"/>
      <c r="N63" s="118" t="s">
        <v>92</v>
      </c>
      <c r="O63" s="85"/>
      <c r="P63" s="85"/>
      <c r="Q63" s="85"/>
    </row>
    <row r="66" spans="1:18" ht="14.25" customHeight="1">
      <c r="A66" s="85" t="s">
        <v>97</v>
      </c>
      <c r="B66" s="85"/>
      <c r="C66" s="85"/>
      <c r="D66" s="85"/>
      <c r="E66" s="85"/>
      <c r="F66" s="85"/>
      <c r="G66" s="85"/>
      <c r="H66" s="85"/>
      <c r="I66" s="85" t="s">
        <v>97</v>
      </c>
      <c r="J66" s="85"/>
      <c r="K66" s="85"/>
      <c r="L66" s="85"/>
      <c r="M66" s="85"/>
      <c r="N66" s="85"/>
      <c r="O66" s="85"/>
      <c r="P66" s="85"/>
      <c r="Q66" s="85"/>
    </row>
    <row r="68" spans="1:18" ht="14.25" customHeight="1">
      <c r="A68" s="108" t="s">
        <v>86</v>
      </c>
      <c r="B68" s="556">
        <v>1.5100000000000001E-3</v>
      </c>
      <c r="C68" s="349" t="s">
        <v>87</v>
      </c>
      <c r="D68" s="361">
        <f>B12</f>
        <v>12237914</v>
      </c>
      <c r="E68" s="349" t="s">
        <v>88</v>
      </c>
      <c r="F68" s="592" t="s">
        <v>90</v>
      </c>
      <c r="G68" s="592"/>
      <c r="H68" s="235"/>
      <c r="I68" s="108" t="s">
        <v>86</v>
      </c>
      <c r="J68" s="360">
        <v>1.4E-5</v>
      </c>
      <c r="K68" s="349" t="s">
        <v>87</v>
      </c>
      <c r="L68" s="361">
        <f>J12</f>
        <v>473204</v>
      </c>
      <c r="M68" s="349" t="s">
        <v>88</v>
      </c>
      <c r="N68" s="360">
        <v>0.13800000000000001</v>
      </c>
      <c r="O68" s="349" t="s">
        <v>89</v>
      </c>
      <c r="P68" s="556"/>
      <c r="Q68" s="362" t="s">
        <v>90</v>
      </c>
    </row>
    <row r="69" spans="1:18" ht="14.25" customHeight="1">
      <c r="A69" s="85"/>
      <c r="B69" s="557">
        <v>1000</v>
      </c>
      <c r="C69" s="226" t="s">
        <v>88</v>
      </c>
      <c r="D69" s="593" t="s">
        <v>59</v>
      </c>
      <c r="E69" s="593"/>
      <c r="F69" s="235">
        <v>2000</v>
      </c>
      <c r="G69" s="85" t="s">
        <v>87</v>
      </c>
      <c r="H69" s="235"/>
      <c r="I69" s="85"/>
      <c r="J69" s="363"/>
      <c r="K69" s="364" t="s">
        <v>89</v>
      </c>
      <c r="L69" s="557"/>
      <c r="M69" s="226" t="s">
        <v>59</v>
      </c>
      <c r="N69" s="557"/>
      <c r="O69" s="226" t="s">
        <v>88</v>
      </c>
      <c r="P69" s="235">
        <v>2000</v>
      </c>
      <c r="Q69" s="365" t="s">
        <v>87</v>
      </c>
    </row>
    <row r="72" spans="1:18" ht="14.25" customHeight="1">
      <c r="A72" s="108" t="s">
        <v>86</v>
      </c>
      <c r="B72" s="123">
        <f>((B68/B69)*D68)/F69</f>
        <v>9.2396250700000002E-3</v>
      </c>
      <c r="C72" s="115" t="s">
        <v>90</v>
      </c>
      <c r="D72" s="108" t="s">
        <v>86</v>
      </c>
      <c r="E72" s="114">
        <f>B72*(2000/8760)</f>
        <v>2.1095034406392694E-3</v>
      </c>
      <c r="F72" s="115" t="s">
        <v>87</v>
      </c>
      <c r="G72" s="85"/>
      <c r="H72" s="85"/>
      <c r="I72" s="108" t="s">
        <v>86</v>
      </c>
      <c r="J72" s="369">
        <f>(J68*L68*N68)/P69</f>
        <v>4.5711506400000009E-4</v>
      </c>
      <c r="K72" s="115" t="s">
        <v>90</v>
      </c>
      <c r="L72" s="108" t="s">
        <v>86</v>
      </c>
      <c r="M72" s="369">
        <f>J72*(2000/8760)</f>
        <v>1.0436416986301372E-4</v>
      </c>
      <c r="N72" s="115" t="s">
        <v>87</v>
      </c>
      <c r="O72" s="85"/>
      <c r="P72" s="85"/>
      <c r="Q72" s="85"/>
    </row>
    <row r="73" spans="1:18" ht="14.25" customHeight="1">
      <c r="A73" s="85"/>
      <c r="B73" s="85"/>
      <c r="C73" s="118" t="s">
        <v>59</v>
      </c>
      <c r="D73" s="85"/>
      <c r="E73" s="85"/>
      <c r="F73" s="118" t="s">
        <v>92</v>
      </c>
      <c r="G73" s="85"/>
      <c r="H73" s="85"/>
      <c r="I73" s="85"/>
      <c r="J73" s="85"/>
      <c r="K73" s="118" t="s">
        <v>59</v>
      </c>
      <c r="L73" s="85"/>
      <c r="M73" s="85"/>
      <c r="N73" s="118" t="s">
        <v>92</v>
      </c>
      <c r="O73" s="85"/>
      <c r="P73" s="85"/>
      <c r="Q73" s="85"/>
    </row>
    <row r="76" spans="1:18" ht="14.25" customHeight="1">
      <c r="A76" s="85" t="s">
        <v>98</v>
      </c>
      <c r="B76" s="85"/>
      <c r="C76" s="85"/>
      <c r="D76" s="85"/>
      <c r="E76" s="85"/>
      <c r="F76" s="85"/>
      <c r="G76" s="85"/>
      <c r="J76" s="85" t="s">
        <v>98</v>
      </c>
      <c r="K76" s="85"/>
      <c r="L76" s="85"/>
      <c r="M76" s="85"/>
      <c r="N76" s="85"/>
      <c r="O76" s="85"/>
      <c r="P76" s="85"/>
      <c r="Q76" s="85"/>
      <c r="R76" s="85"/>
    </row>
    <row r="78" spans="1:18" ht="14.25" customHeight="1">
      <c r="A78" s="108" t="s">
        <v>86</v>
      </c>
      <c r="B78" s="109">
        <f>V13</f>
        <v>24.631667341468056</v>
      </c>
      <c r="C78" s="110" t="s">
        <v>87</v>
      </c>
      <c r="D78" s="111">
        <f>D68</f>
        <v>12237914</v>
      </c>
      <c r="E78" s="110" t="s">
        <v>88</v>
      </c>
      <c r="F78" s="575" t="s">
        <v>90</v>
      </c>
      <c r="G78" s="575"/>
      <c r="J78" s="108" t="s">
        <v>86</v>
      </c>
      <c r="K78" s="109">
        <f>V14</f>
        <v>22.578420600240001</v>
      </c>
      <c r="L78" s="110" t="s">
        <v>87</v>
      </c>
      <c r="M78" s="111">
        <f>L68</f>
        <v>473204</v>
      </c>
      <c r="N78" s="110" t="s">
        <v>88</v>
      </c>
      <c r="O78" s="575" t="s">
        <v>90</v>
      </c>
      <c r="P78" s="575"/>
    </row>
    <row r="79" spans="1:18" ht="14.25" customHeight="1">
      <c r="A79" s="85"/>
      <c r="B79" s="113"/>
      <c r="C79" s="107" t="s">
        <v>88</v>
      </c>
      <c r="D79" s="576" t="s">
        <v>59</v>
      </c>
      <c r="E79" s="576"/>
      <c r="F79" s="113">
        <v>2000</v>
      </c>
      <c r="G79" s="107" t="s">
        <v>87</v>
      </c>
      <c r="J79" s="85"/>
      <c r="K79" s="113"/>
      <c r="L79" s="107" t="s">
        <v>88</v>
      </c>
      <c r="M79" s="576" t="s">
        <v>59</v>
      </c>
      <c r="N79" s="576"/>
      <c r="O79" s="113">
        <v>2000</v>
      </c>
      <c r="P79" s="107" t="s">
        <v>87</v>
      </c>
    </row>
    <row r="82" spans="1:16" ht="14.25" customHeight="1">
      <c r="A82" s="108" t="s">
        <v>86</v>
      </c>
      <c r="B82" s="123">
        <f>B78*D78/F79</f>
        <v>150720.11330074735</v>
      </c>
      <c r="C82" s="115" t="s">
        <v>90</v>
      </c>
      <c r="D82" s="85"/>
      <c r="E82" s="85"/>
      <c r="F82" s="85"/>
      <c r="G82" s="85"/>
      <c r="J82" s="108" t="s">
        <v>86</v>
      </c>
      <c r="K82" s="123">
        <f>K78*M78/O79</f>
        <v>5342.0994708579847</v>
      </c>
      <c r="L82" s="115" t="s">
        <v>90</v>
      </c>
      <c r="M82" s="85"/>
      <c r="N82" s="85"/>
      <c r="O82" s="85"/>
      <c r="P82" s="85"/>
    </row>
    <row r="83" spans="1:16" ht="14.25" customHeight="1">
      <c r="A83" s="85"/>
      <c r="B83" s="85"/>
      <c r="C83" s="118" t="s">
        <v>59</v>
      </c>
      <c r="D83" s="85"/>
      <c r="E83" s="85"/>
      <c r="F83" s="85"/>
      <c r="G83" s="85"/>
      <c r="J83" s="85"/>
      <c r="K83" s="85"/>
      <c r="L83" s="118" t="s">
        <v>59</v>
      </c>
      <c r="M83" s="85"/>
      <c r="N83" s="85"/>
      <c r="O83" s="85"/>
      <c r="P83" s="85"/>
    </row>
  </sheetData>
  <mergeCells count="21">
    <mergeCell ref="A1:H1"/>
    <mergeCell ref="I1:Q1"/>
    <mergeCell ref="A3:C3"/>
    <mergeCell ref="I3:K3"/>
    <mergeCell ref="F18:G18"/>
    <mergeCell ref="D19:E19"/>
    <mergeCell ref="F28:G28"/>
    <mergeCell ref="D29:E29"/>
    <mergeCell ref="F38:G38"/>
    <mergeCell ref="H38:I38"/>
    <mergeCell ref="D39:E39"/>
    <mergeCell ref="F48:G48"/>
    <mergeCell ref="D49:E49"/>
    <mergeCell ref="F58:G58"/>
    <mergeCell ref="D59:E59"/>
    <mergeCell ref="F68:G68"/>
    <mergeCell ref="D69:E69"/>
    <mergeCell ref="F78:G78"/>
    <mergeCell ref="O78:P78"/>
    <mergeCell ref="D79:E79"/>
    <mergeCell ref="M79:N79"/>
  </mergeCells>
  <pageMargins left="0.7" right="0.7" top="0.75" bottom="0.75" header="0.511811023622047" footer="0.511811023622047"/>
  <pageSetup paperSize="9" orientation="portrait" horizontalDpi="300" verticalDpi="300"/>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U83"/>
  <sheetViews>
    <sheetView tabSelected="1" topLeftCell="A10" zoomScaleNormal="100" workbookViewId="0">
      <selection activeCell="F16" sqref="F16"/>
    </sheetView>
  </sheetViews>
  <sheetFormatPr defaultColWidth="8.7109375" defaultRowHeight="15"/>
  <cols>
    <col min="1" max="2" width="18.28515625" customWidth="1"/>
    <col min="3" max="3" width="16.5703125" customWidth="1"/>
    <col min="4" max="4" width="12.42578125" customWidth="1"/>
    <col min="5" max="5" width="11.5703125" customWidth="1"/>
    <col min="6" max="6" width="13.5703125" customWidth="1"/>
    <col min="7" max="7" width="4.85546875" customWidth="1"/>
    <col min="8" max="8" width="12" customWidth="1"/>
    <col min="9" max="9" width="8.28515625" customWidth="1"/>
    <col min="10" max="10" width="5.5703125" customWidth="1"/>
    <col min="11" max="11" width="3.42578125" customWidth="1"/>
    <col min="12" max="12" width="7.28515625" customWidth="1"/>
    <col min="13" max="13" width="12.7109375" customWidth="1"/>
    <col min="14" max="14" width="8.5703125" customWidth="1"/>
    <col min="15" max="15" width="9.140625" customWidth="1"/>
    <col min="16" max="16" width="8.28515625" customWidth="1"/>
    <col min="17" max="17" width="1.7109375" customWidth="1"/>
    <col min="18" max="18" width="8" customWidth="1"/>
    <col min="19" max="19" width="8.28515625" customWidth="1"/>
    <col min="20" max="20" width="5.5703125" customWidth="1"/>
    <col min="21" max="21" width="3.42578125" customWidth="1"/>
    <col min="23" max="23" width="12" customWidth="1"/>
  </cols>
  <sheetData>
    <row r="1" spans="1:16" ht="14.25" customHeight="1">
      <c r="A1" s="578" t="s">
        <v>270</v>
      </c>
      <c r="B1" s="578"/>
      <c r="C1" s="578"/>
      <c r="D1" s="578"/>
      <c r="E1" s="578"/>
      <c r="F1" s="578"/>
      <c r="G1" s="578"/>
      <c r="H1" s="578"/>
      <c r="I1" s="578"/>
      <c r="J1" s="578"/>
      <c r="K1" s="578"/>
      <c r="L1" s="578"/>
      <c r="M1" s="578"/>
      <c r="N1" s="578"/>
      <c r="O1" s="578"/>
      <c r="P1" s="578"/>
    </row>
    <row r="2" spans="1:16" ht="14.25" customHeight="1">
      <c r="A2" s="125"/>
      <c r="B2" s="125"/>
      <c r="C2" s="125"/>
      <c r="D2" s="125"/>
      <c r="E2" s="125"/>
      <c r="F2" s="125"/>
      <c r="G2" s="125"/>
      <c r="H2" s="125"/>
      <c r="I2" s="125"/>
      <c r="J2" s="125"/>
      <c r="K2" s="125"/>
      <c r="L2" s="125"/>
      <c r="M2" s="125"/>
      <c r="N2" s="125"/>
      <c r="O2" s="125"/>
      <c r="P2" s="125"/>
    </row>
    <row r="3" spans="1:16" ht="30" customHeight="1">
      <c r="A3" s="126" t="s">
        <v>110</v>
      </c>
      <c r="B3" s="127" t="s">
        <v>111</v>
      </c>
      <c r="C3" s="127" t="s">
        <v>200</v>
      </c>
      <c r="D3" s="128" t="s">
        <v>113</v>
      </c>
      <c r="E3" s="128" t="s">
        <v>114</v>
      </c>
      <c r="M3" s="125"/>
      <c r="N3" s="125"/>
      <c r="O3" s="125"/>
      <c r="P3" s="125"/>
    </row>
    <row r="4" spans="1:16" ht="14.25" customHeight="1">
      <c r="A4" s="129" t="s">
        <v>14</v>
      </c>
      <c r="B4" s="130">
        <v>0.11</v>
      </c>
      <c r="C4" s="130">
        <v>0.1731</v>
      </c>
      <c r="D4" s="111">
        <f>B23</f>
        <v>6.6606248748600008E-3</v>
      </c>
      <c r="E4" s="131">
        <f>F23</f>
        <v>1.5206906106986302E-3</v>
      </c>
      <c r="J4" s="132"/>
      <c r="K4" s="133"/>
      <c r="L4" s="133"/>
      <c r="M4" s="125"/>
      <c r="N4" s="125"/>
      <c r="O4" s="125"/>
      <c r="P4" s="125"/>
    </row>
    <row r="5" spans="1:16" ht="14.25" customHeight="1">
      <c r="A5" s="134" t="s">
        <v>15</v>
      </c>
      <c r="B5" s="135">
        <v>7.6999999999999999E-2</v>
      </c>
      <c r="C5" s="136">
        <v>3.4299999999999997E-2</v>
      </c>
      <c r="D5" s="137">
        <f>B29</f>
        <v>4.6624374124019999E-3</v>
      </c>
      <c r="E5" s="138">
        <f>F29</f>
        <v>1.0644834274890411E-3</v>
      </c>
      <c r="F5" s="125"/>
      <c r="G5" s="125"/>
      <c r="H5" s="125"/>
      <c r="I5" s="125"/>
      <c r="J5" s="125"/>
      <c r="K5" s="125"/>
      <c r="L5" s="125"/>
      <c r="M5" s="125"/>
      <c r="N5" s="125"/>
      <c r="O5" s="125"/>
      <c r="P5" s="125"/>
    </row>
    <row r="6" spans="1:16" ht="14.25" customHeight="1">
      <c r="A6" s="134" t="s">
        <v>16</v>
      </c>
      <c r="B6" s="135">
        <v>8.0999999999999996E-3</v>
      </c>
      <c r="C6" s="135">
        <v>7.1000000000000004E-3</v>
      </c>
      <c r="D6" s="137">
        <f>B35</f>
        <v>4.9046419533060003E-4</v>
      </c>
      <c r="E6" s="138">
        <f>F35</f>
        <v>1.1197812678780822E-4</v>
      </c>
      <c r="F6" s="579" t="s">
        <v>115</v>
      </c>
      <c r="G6" s="579"/>
      <c r="H6" s="579"/>
      <c r="I6" s="579"/>
      <c r="J6" s="579"/>
      <c r="K6" s="579"/>
      <c r="L6" s="579"/>
      <c r="M6" s="579"/>
      <c r="N6" s="579"/>
      <c r="O6" s="139"/>
      <c r="P6" s="139"/>
    </row>
    <row r="7" spans="1:16" ht="14.25" customHeight="1">
      <c r="A7" s="134" t="s">
        <v>11</v>
      </c>
      <c r="B7" s="370">
        <v>0.01</v>
      </c>
      <c r="C7" s="136">
        <v>1.77E-2</v>
      </c>
      <c r="D7" s="137">
        <f>B41</f>
        <v>6.0551135226000012E-4</v>
      </c>
      <c r="E7" s="138">
        <f>F41</f>
        <v>1.3824460097260275E-4</v>
      </c>
      <c r="F7" s="140" t="s">
        <v>116</v>
      </c>
      <c r="G7" s="141" t="s">
        <v>271</v>
      </c>
      <c r="I7" s="141"/>
      <c r="J7" s="141"/>
      <c r="K7" s="141"/>
      <c r="L7" s="141"/>
      <c r="M7" s="141"/>
      <c r="N7" s="141"/>
      <c r="O7" s="141"/>
      <c r="P7" s="141"/>
    </row>
    <row r="8" spans="1:16" ht="14.25" customHeight="1">
      <c r="A8" s="134" t="s">
        <v>12</v>
      </c>
      <c r="B8" s="370">
        <v>0.01</v>
      </c>
      <c r="C8" s="136">
        <v>1.77E-2</v>
      </c>
      <c r="D8" s="137">
        <f>B47</f>
        <v>6.0551135226000012E-4</v>
      </c>
      <c r="E8" s="142">
        <f>F47</f>
        <v>1.3824460097260275E-4</v>
      </c>
      <c r="F8" s="143"/>
      <c r="G8" s="141" t="s">
        <v>272</v>
      </c>
      <c r="H8" s="141"/>
      <c r="I8" s="141"/>
      <c r="J8" s="141"/>
      <c r="K8" s="141"/>
      <c r="L8" s="141"/>
      <c r="M8" s="141"/>
      <c r="N8" s="141"/>
      <c r="O8" s="141"/>
    </row>
    <row r="9" spans="1:16" ht="14.25" customHeight="1">
      <c r="A9" s="134" t="s">
        <v>34</v>
      </c>
      <c r="B9" s="370">
        <v>0.01</v>
      </c>
      <c r="C9" s="136">
        <v>1.77E-2</v>
      </c>
      <c r="D9" s="137">
        <f>B53</f>
        <v>6.0551135226000012E-4</v>
      </c>
      <c r="E9" s="138">
        <f>F53</f>
        <v>1.3824460097260275E-4</v>
      </c>
      <c r="F9" s="107"/>
      <c r="G9" s="141" t="s">
        <v>119</v>
      </c>
      <c r="H9" s="141"/>
      <c r="I9" s="141"/>
      <c r="J9" s="141"/>
      <c r="K9" s="141"/>
      <c r="L9" s="141"/>
      <c r="M9" s="141"/>
      <c r="N9" s="141"/>
      <c r="O9" s="141"/>
    </row>
    <row r="10" spans="1:16" ht="14.25" customHeight="1">
      <c r="A10" s="134" t="s">
        <v>13</v>
      </c>
      <c r="B10" s="371">
        <f>1*2/7000/100/1026*1000000</f>
        <v>2.7847396268448903E-3</v>
      </c>
      <c r="C10" s="136">
        <v>1.5E-3</v>
      </c>
      <c r="D10" s="137">
        <f>B59</f>
        <v>1.6861914571428578E-4</v>
      </c>
      <c r="E10" s="138">
        <f>F59</f>
        <v>3.8497521852576662E-5</v>
      </c>
      <c r="F10" s="107"/>
      <c r="G10" s="107"/>
      <c r="H10" s="143"/>
      <c r="I10" s="143"/>
      <c r="J10" s="143"/>
      <c r="K10" s="143"/>
      <c r="L10" s="143"/>
      <c r="M10" s="143"/>
      <c r="N10" s="143"/>
      <c r="O10" s="143"/>
      <c r="P10" s="143"/>
    </row>
    <row r="11" spans="1:16" ht="14.25" customHeight="1">
      <c r="A11" s="134" t="s">
        <v>36</v>
      </c>
      <c r="B11" s="372">
        <f>B10*0.1*98/64</f>
        <v>4.2641325536062387E-4</v>
      </c>
      <c r="C11" s="372">
        <f>C10*0.1*98/64</f>
        <v>2.2968750000000002E-4</v>
      </c>
      <c r="D11" s="137">
        <f>B65</f>
        <v>2.581980668750001E-5</v>
      </c>
      <c r="E11" s="138">
        <f>F65</f>
        <v>5.894933033675801E-6</v>
      </c>
      <c r="F11" s="144" t="s">
        <v>121</v>
      </c>
      <c r="G11" s="141" t="s">
        <v>122</v>
      </c>
      <c r="H11" s="141"/>
      <c r="I11" s="141"/>
      <c r="J11" s="141"/>
      <c r="K11" s="141"/>
      <c r="L11" s="141"/>
      <c r="N11" s="143"/>
      <c r="O11" s="143"/>
      <c r="P11" s="143"/>
    </row>
    <row r="12" spans="1:16" ht="14.25" customHeight="1">
      <c r="A12" s="134" t="s">
        <v>17</v>
      </c>
      <c r="B12" s="135">
        <v>0</v>
      </c>
      <c r="C12" s="145">
        <v>1.4E-5</v>
      </c>
      <c r="D12" s="137">
        <f>B71</f>
        <v>0</v>
      </c>
      <c r="E12" s="138">
        <f>F71</f>
        <v>0</v>
      </c>
      <c r="F12" s="125"/>
      <c r="G12" s="125"/>
      <c r="H12" s="125"/>
      <c r="I12" s="125"/>
      <c r="J12" s="125"/>
      <c r="K12" s="125"/>
      <c r="L12" s="125"/>
      <c r="M12" s="125"/>
      <c r="N12" s="125"/>
      <c r="O12" s="125"/>
      <c r="P12" s="125"/>
    </row>
    <row r="13" spans="1:16" ht="14.25" customHeight="1">
      <c r="A13" s="134" t="s">
        <v>18</v>
      </c>
      <c r="B13" s="373">
        <f>(53.06+0.001*25+0.0001*298)*2.2046</f>
        <v>117.09688808000001</v>
      </c>
      <c r="C13" s="373">
        <v>163.61000000000001</v>
      </c>
      <c r="D13" s="146">
        <f>B77</f>
        <v>7.0903495046758689</v>
      </c>
      <c r="E13" s="147">
        <f>F77</f>
        <v>1.6188012567753125</v>
      </c>
      <c r="F13" s="125"/>
      <c r="G13" s="125"/>
      <c r="H13" s="125"/>
      <c r="I13" s="125"/>
      <c r="J13" s="125"/>
      <c r="K13" s="125"/>
      <c r="L13" s="125"/>
      <c r="M13" s="125"/>
      <c r="N13" s="125"/>
      <c r="O13" s="125"/>
      <c r="P13" s="125"/>
    </row>
    <row r="14" spans="1:16" ht="14.25" customHeight="1">
      <c r="A14" s="148" t="s">
        <v>37</v>
      </c>
      <c r="B14" s="149">
        <v>0</v>
      </c>
      <c r="C14" s="150">
        <v>0</v>
      </c>
      <c r="D14" s="151">
        <v>0</v>
      </c>
      <c r="E14" s="152">
        <v>0</v>
      </c>
      <c r="F14" s="125"/>
      <c r="G14" s="125"/>
      <c r="H14" s="125"/>
      <c r="I14" s="125"/>
      <c r="J14" s="125"/>
      <c r="K14" s="125"/>
      <c r="L14" s="125"/>
      <c r="M14" s="125"/>
      <c r="N14" s="125"/>
      <c r="O14" s="125"/>
      <c r="P14" s="125"/>
    </row>
    <row r="15" spans="1:16" ht="14.25" customHeight="1">
      <c r="A15" s="153"/>
      <c r="B15" s="153"/>
      <c r="C15" s="153"/>
      <c r="D15" s="153"/>
      <c r="E15" s="132"/>
      <c r="H15" s="125"/>
      <c r="I15" s="125"/>
      <c r="J15" s="125"/>
      <c r="K15" s="125"/>
      <c r="L15" s="125"/>
      <c r="M15" s="125"/>
      <c r="N15" s="125"/>
      <c r="O15" s="125"/>
      <c r="P15" s="125"/>
    </row>
    <row r="16" spans="1:16" ht="14.25" customHeight="1">
      <c r="A16" s="154" t="s">
        <v>205</v>
      </c>
      <c r="B16" s="155">
        <f>'Palo Seco'!E47</f>
        <v>0</v>
      </c>
      <c r="C16" s="155"/>
      <c r="D16" s="156" t="s">
        <v>83</v>
      </c>
      <c r="H16" s="125"/>
      <c r="I16" s="125"/>
      <c r="J16" s="125"/>
      <c r="K16" s="125"/>
      <c r="L16" s="125"/>
      <c r="M16" s="125"/>
      <c r="N16" s="125"/>
      <c r="O16" s="125"/>
      <c r="P16" s="125"/>
    </row>
    <row r="17" spans="1:21" ht="14.25" customHeight="1">
      <c r="A17" s="116" t="s">
        <v>128</v>
      </c>
      <c r="B17" s="157">
        <f>'Palo Seco'!I47</f>
        <v>118033.402</v>
      </c>
      <c r="C17" s="157"/>
      <c r="D17" s="133" t="s">
        <v>129</v>
      </c>
      <c r="F17" s="125"/>
      <c r="G17" s="125"/>
      <c r="H17" s="125"/>
      <c r="I17" s="125"/>
      <c r="J17" s="125"/>
      <c r="K17" s="125"/>
      <c r="L17" s="125"/>
      <c r="M17" s="125"/>
      <c r="N17" s="125"/>
      <c r="O17" s="125"/>
      <c r="P17" s="125"/>
    </row>
    <row r="18" spans="1:21" ht="14.25" customHeight="1">
      <c r="A18" s="87" t="s">
        <v>130</v>
      </c>
      <c r="B18" s="158">
        <v>0.01</v>
      </c>
      <c r="D18" t="s">
        <v>131</v>
      </c>
      <c r="M18" s="125"/>
      <c r="N18" s="125"/>
      <c r="O18" s="125"/>
      <c r="P18" s="125"/>
    </row>
    <row r="19" spans="1:21" ht="14.25" customHeight="1">
      <c r="A19" s="125"/>
      <c r="B19" s="125"/>
      <c r="C19" s="125"/>
      <c r="D19" s="125"/>
      <c r="E19" s="125"/>
      <c r="F19" s="125"/>
      <c r="G19" s="125"/>
      <c r="H19" s="125"/>
      <c r="I19" s="125"/>
      <c r="J19" s="125"/>
      <c r="K19" s="125"/>
      <c r="L19" s="125"/>
      <c r="M19" s="125"/>
      <c r="N19" s="125"/>
      <c r="O19" s="125"/>
      <c r="P19" s="125"/>
    </row>
    <row r="20" spans="1:21" ht="14.25" customHeight="1">
      <c r="A20" s="159" t="s">
        <v>132</v>
      </c>
      <c r="B20" s="160">
        <f>B16</f>
        <v>0</v>
      </c>
      <c r="C20" s="161"/>
      <c r="D20" s="162" t="s">
        <v>133</v>
      </c>
      <c r="E20" s="163">
        <v>0.13800000000000001</v>
      </c>
      <c r="F20" s="164" t="s">
        <v>134</v>
      </c>
      <c r="G20" s="576" t="s">
        <v>135</v>
      </c>
      <c r="H20" s="165">
        <f>C4</f>
        <v>0.1731</v>
      </c>
      <c r="I20" s="166" t="s">
        <v>136</v>
      </c>
      <c r="J20" s="165">
        <v>1</v>
      </c>
      <c r="K20" s="165" t="s">
        <v>90</v>
      </c>
      <c r="L20" s="167" t="s">
        <v>137</v>
      </c>
      <c r="M20" s="168">
        <f>B17</f>
        <v>118033.402</v>
      </c>
      <c r="N20" s="164" t="s">
        <v>138</v>
      </c>
      <c r="O20" s="160">
        <v>1026</v>
      </c>
      <c r="P20" s="162" t="s">
        <v>139</v>
      </c>
      <c r="Q20" s="576" t="s">
        <v>135</v>
      </c>
      <c r="R20" s="165">
        <f>B4</f>
        <v>0.11</v>
      </c>
      <c r="S20" s="166" t="s">
        <v>136</v>
      </c>
      <c r="T20" s="165">
        <v>1</v>
      </c>
      <c r="U20" s="165" t="s">
        <v>90</v>
      </c>
    </row>
    <row r="21" spans="1:21" ht="14.25" customHeight="1">
      <c r="A21" s="107"/>
      <c r="B21" s="113"/>
      <c r="C21" s="107"/>
      <c r="D21" s="169" t="s">
        <v>59</v>
      </c>
      <c r="E21" s="107"/>
      <c r="F21" s="170" t="s">
        <v>88</v>
      </c>
      <c r="G21" s="576"/>
      <c r="H21" s="125"/>
      <c r="I21" s="171" t="s">
        <v>140</v>
      </c>
      <c r="J21" s="172">
        <v>2000</v>
      </c>
      <c r="K21" s="125" t="s">
        <v>141</v>
      </c>
      <c r="L21" s="107"/>
      <c r="M21" s="107"/>
      <c r="N21" s="170" t="s">
        <v>59</v>
      </c>
      <c r="O21" s="173">
        <v>1000000</v>
      </c>
      <c r="P21" s="169" t="s">
        <v>68</v>
      </c>
      <c r="Q21" s="576"/>
      <c r="R21" s="125"/>
      <c r="S21" s="171" t="s">
        <v>140</v>
      </c>
      <c r="T21" s="172">
        <v>2000</v>
      </c>
      <c r="U21" s="125" t="s">
        <v>141</v>
      </c>
    </row>
    <row r="22" spans="1:21" ht="14.25" customHeight="1">
      <c r="A22" s="125"/>
      <c r="B22" s="125"/>
      <c r="C22" s="125"/>
      <c r="D22" s="125"/>
      <c r="E22" s="125"/>
      <c r="F22" s="125"/>
      <c r="G22" s="125"/>
      <c r="H22" s="125"/>
      <c r="I22" s="125"/>
      <c r="J22" s="125"/>
      <c r="K22" s="125"/>
      <c r="L22" s="125"/>
      <c r="M22" s="125"/>
      <c r="N22" s="125"/>
      <c r="O22" s="125"/>
      <c r="P22" s="125"/>
    </row>
    <row r="23" spans="1:21" ht="14.25" customHeight="1">
      <c r="A23" s="159"/>
      <c r="B23" s="174">
        <f>(B20*E20*H20+M20*O20*R20/1000000)/2000</f>
        <v>6.6606248748600008E-3</v>
      </c>
      <c r="C23" s="174"/>
      <c r="D23" s="125" t="s">
        <v>142</v>
      </c>
      <c r="E23" s="159" t="s">
        <v>86</v>
      </c>
      <c r="F23" s="132">
        <f>B23*(2000/8760)</f>
        <v>1.5206906106986302E-3</v>
      </c>
      <c r="G23" s="125" t="s">
        <v>143</v>
      </c>
      <c r="H23" s="175"/>
      <c r="I23" s="125"/>
      <c r="J23" s="125"/>
      <c r="K23" s="125"/>
      <c r="L23" s="125"/>
      <c r="M23" s="125"/>
      <c r="N23" s="125"/>
      <c r="O23" s="125"/>
      <c r="P23" s="125"/>
    </row>
    <row r="24" spans="1:21" ht="14.25" customHeight="1">
      <c r="A24" s="125"/>
      <c r="B24" s="125"/>
      <c r="C24" s="125"/>
      <c r="D24" s="125"/>
      <c r="E24" s="125"/>
      <c r="F24" s="125"/>
      <c r="G24" s="125"/>
      <c r="H24" s="176"/>
      <c r="I24" s="176"/>
      <c r="J24" s="176"/>
      <c r="K24" s="125"/>
      <c r="L24" s="125"/>
      <c r="M24" s="125"/>
      <c r="N24" s="125"/>
      <c r="O24" s="125"/>
      <c r="P24" s="125"/>
    </row>
    <row r="25" spans="1:21" ht="14.25" customHeight="1">
      <c r="A25" s="125"/>
      <c r="B25" s="125"/>
      <c r="C25" s="125"/>
      <c r="D25" s="125"/>
      <c r="E25" s="125"/>
      <c r="F25" s="125"/>
      <c r="G25" s="125"/>
      <c r="H25" s="125"/>
      <c r="I25" s="125"/>
      <c r="J25" s="125"/>
      <c r="K25" s="125"/>
      <c r="L25" s="125"/>
      <c r="M25" s="125"/>
      <c r="N25" s="125"/>
      <c r="O25" s="125"/>
      <c r="P25" s="125"/>
    </row>
    <row r="26" spans="1:21" ht="14.25" customHeight="1">
      <c r="A26" s="159" t="s">
        <v>144</v>
      </c>
      <c r="B26" s="160">
        <f>B16</f>
        <v>0</v>
      </c>
      <c r="C26" s="161"/>
      <c r="D26" s="162" t="s">
        <v>133</v>
      </c>
      <c r="E26" s="163">
        <v>0.13800000000000001</v>
      </c>
      <c r="F26" s="164" t="s">
        <v>134</v>
      </c>
      <c r="G26" s="576" t="s">
        <v>135</v>
      </c>
      <c r="H26" s="165">
        <f>C5</f>
        <v>3.4299999999999997E-2</v>
      </c>
      <c r="I26" s="166" t="s">
        <v>136</v>
      </c>
      <c r="J26" s="165">
        <v>1</v>
      </c>
      <c r="K26" s="165" t="s">
        <v>90</v>
      </c>
      <c r="L26" s="167" t="s">
        <v>137</v>
      </c>
      <c r="M26" s="168">
        <f>B17</f>
        <v>118033.402</v>
      </c>
      <c r="N26" s="162" t="s">
        <v>138</v>
      </c>
      <c r="O26" s="161">
        <v>1026</v>
      </c>
      <c r="P26" s="162" t="s">
        <v>139</v>
      </c>
      <c r="Q26" s="113" t="s">
        <v>135</v>
      </c>
      <c r="R26" s="165">
        <f>B5</f>
        <v>7.6999999999999999E-2</v>
      </c>
      <c r="S26" s="166" t="s">
        <v>136</v>
      </c>
      <c r="T26" s="177">
        <v>1</v>
      </c>
      <c r="U26" s="165" t="s">
        <v>90</v>
      </c>
    </row>
    <row r="27" spans="1:21" ht="14.25" customHeight="1">
      <c r="A27" s="107"/>
      <c r="B27" s="113"/>
      <c r="C27" s="107"/>
      <c r="D27" s="169" t="s">
        <v>59</v>
      </c>
      <c r="E27" s="107"/>
      <c r="F27" s="178" t="s">
        <v>88</v>
      </c>
      <c r="G27" s="576"/>
      <c r="H27" s="125"/>
      <c r="I27" s="171" t="s">
        <v>140</v>
      </c>
      <c r="J27" s="172">
        <v>2000</v>
      </c>
      <c r="K27" s="125" t="s">
        <v>141</v>
      </c>
      <c r="L27" s="107"/>
      <c r="M27" s="107"/>
      <c r="N27" s="169" t="s">
        <v>59</v>
      </c>
      <c r="O27" s="179">
        <v>1000000</v>
      </c>
      <c r="P27" s="169" t="s">
        <v>68</v>
      </c>
      <c r="Q27" s="113"/>
      <c r="R27" s="125"/>
      <c r="S27" s="171" t="s">
        <v>140</v>
      </c>
      <c r="T27" s="180">
        <v>2000</v>
      </c>
      <c r="U27" s="125" t="s">
        <v>141</v>
      </c>
    </row>
    <row r="28" spans="1:21" ht="14.25" customHeight="1">
      <c r="A28" s="125"/>
      <c r="B28" s="125"/>
      <c r="C28" s="125"/>
      <c r="D28" s="125"/>
      <c r="E28" s="125"/>
      <c r="F28" s="125"/>
      <c r="G28" s="125"/>
      <c r="H28" s="125"/>
      <c r="I28" s="125"/>
      <c r="J28" s="125"/>
      <c r="K28" s="125"/>
      <c r="L28" s="125"/>
      <c r="M28" s="125"/>
      <c r="N28" s="125"/>
      <c r="O28" s="125"/>
      <c r="P28" s="125"/>
    </row>
    <row r="29" spans="1:21" ht="14.25" customHeight="1">
      <c r="A29" s="159"/>
      <c r="B29" s="174">
        <f>(B26*E26*H26+M26*O26*R26/1000000)/2000</f>
        <v>4.6624374124019999E-3</v>
      </c>
      <c r="C29" s="174"/>
      <c r="D29" s="125" t="s">
        <v>142</v>
      </c>
      <c r="E29" s="159" t="s">
        <v>86</v>
      </c>
      <c r="F29" s="132">
        <f>B29*(2000/8760)</f>
        <v>1.0644834274890411E-3</v>
      </c>
      <c r="G29" s="125" t="s">
        <v>143</v>
      </c>
      <c r="I29" s="125"/>
      <c r="J29" s="125"/>
      <c r="K29" s="125"/>
      <c r="L29" s="125"/>
      <c r="M29" s="125"/>
      <c r="N29" s="125"/>
      <c r="O29" s="125"/>
      <c r="P29" s="125"/>
    </row>
    <row r="30" spans="1:21" ht="14.25" customHeight="1">
      <c r="A30" s="125"/>
      <c r="B30" s="125"/>
      <c r="C30" s="125"/>
      <c r="D30" s="125"/>
      <c r="E30" s="125"/>
      <c r="F30" s="125"/>
      <c r="G30" s="125"/>
      <c r="H30" s="125"/>
      <c r="I30" s="125"/>
      <c r="J30" s="125"/>
      <c r="K30" s="125"/>
      <c r="L30" s="125"/>
      <c r="M30" s="125"/>
      <c r="N30" s="125"/>
      <c r="O30" s="125"/>
      <c r="P30" s="125"/>
    </row>
    <row r="31" spans="1:21" ht="14.25" customHeight="1">
      <c r="A31" s="125"/>
      <c r="B31" s="125"/>
      <c r="C31" s="125"/>
      <c r="D31" s="125"/>
      <c r="E31" s="125"/>
      <c r="F31" s="125"/>
      <c r="G31" s="125"/>
      <c r="H31" s="125"/>
      <c r="I31" s="125"/>
      <c r="J31" s="125"/>
      <c r="K31" s="125"/>
      <c r="L31" s="125"/>
      <c r="M31" s="125"/>
      <c r="N31" s="125"/>
      <c r="O31" s="125"/>
      <c r="P31" s="125"/>
    </row>
    <row r="32" spans="1:21" ht="14.25" customHeight="1">
      <c r="A32" s="159" t="s">
        <v>145</v>
      </c>
      <c r="B32" s="160">
        <f>B16</f>
        <v>0</v>
      </c>
      <c r="C32" s="161"/>
      <c r="D32" s="162" t="s">
        <v>133</v>
      </c>
      <c r="E32" s="163">
        <v>0.13800000000000001</v>
      </c>
      <c r="F32" s="164" t="s">
        <v>134</v>
      </c>
      <c r="G32" s="576" t="s">
        <v>135</v>
      </c>
      <c r="H32" s="165">
        <f>C6</f>
        <v>7.1000000000000004E-3</v>
      </c>
      <c r="I32" s="166" t="s">
        <v>136</v>
      </c>
      <c r="J32" s="165">
        <v>1</v>
      </c>
      <c r="K32" s="165" t="s">
        <v>90</v>
      </c>
      <c r="L32" s="167" t="s">
        <v>137</v>
      </c>
      <c r="M32" s="168">
        <f>B17</f>
        <v>118033.402</v>
      </c>
      <c r="N32" s="162" t="s">
        <v>138</v>
      </c>
      <c r="O32" s="161">
        <v>1026</v>
      </c>
      <c r="P32" s="162" t="s">
        <v>139</v>
      </c>
      <c r="Q32" s="113" t="s">
        <v>135</v>
      </c>
      <c r="R32" s="165">
        <f>B6</f>
        <v>8.0999999999999996E-3</v>
      </c>
      <c r="S32" s="166" t="s">
        <v>136</v>
      </c>
      <c r="T32" s="165">
        <v>1</v>
      </c>
      <c r="U32" s="165" t="s">
        <v>90</v>
      </c>
    </row>
    <row r="33" spans="1:21" ht="14.25" customHeight="1">
      <c r="A33" s="107"/>
      <c r="B33" s="113"/>
      <c r="C33" s="107"/>
      <c r="D33" s="169" t="s">
        <v>59</v>
      </c>
      <c r="E33" s="107"/>
      <c r="F33" s="170" t="s">
        <v>88</v>
      </c>
      <c r="G33" s="576"/>
      <c r="H33" s="125"/>
      <c r="I33" s="171" t="s">
        <v>140</v>
      </c>
      <c r="J33" s="172">
        <v>2000</v>
      </c>
      <c r="K33" s="125" t="s">
        <v>141</v>
      </c>
      <c r="L33" s="107"/>
      <c r="M33" s="107"/>
      <c r="N33" s="169" t="s">
        <v>59</v>
      </c>
      <c r="O33" s="179">
        <v>1000000</v>
      </c>
      <c r="P33" s="169" t="s">
        <v>68</v>
      </c>
      <c r="Q33" s="113"/>
      <c r="R33" s="125"/>
      <c r="S33" s="171" t="s">
        <v>140</v>
      </c>
      <c r="T33" s="172">
        <v>2000</v>
      </c>
      <c r="U33" s="125" t="s">
        <v>141</v>
      </c>
    </row>
    <row r="34" spans="1:21" ht="14.25" customHeight="1">
      <c r="A34" s="125"/>
      <c r="B34" s="125"/>
      <c r="C34" s="125"/>
      <c r="D34" s="125"/>
      <c r="E34" s="125"/>
      <c r="F34" s="125"/>
      <c r="G34" s="125"/>
      <c r="H34" s="125"/>
      <c r="I34" s="125"/>
      <c r="J34" s="125"/>
      <c r="K34" s="125"/>
      <c r="L34" s="125"/>
      <c r="M34" s="125"/>
      <c r="N34" s="125"/>
      <c r="O34" s="125"/>
      <c r="P34" s="125"/>
    </row>
    <row r="35" spans="1:21" ht="14.25" customHeight="1">
      <c r="A35" s="159"/>
      <c r="B35" s="174">
        <f>(B32*E32*H32+M32*O32*R32/1000000)/2000</f>
        <v>4.9046419533060003E-4</v>
      </c>
      <c r="C35" s="174"/>
      <c r="D35" s="125" t="s">
        <v>142</v>
      </c>
      <c r="E35" s="159" t="s">
        <v>86</v>
      </c>
      <c r="F35" s="132">
        <f>B35*(2000/8760)</f>
        <v>1.1197812678780822E-4</v>
      </c>
      <c r="G35" s="125" t="s">
        <v>143</v>
      </c>
      <c r="I35" s="125"/>
      <c r="J35" s="125"/>
      <c r="K35" s="125"/>
      <c r="L35" s="125"/>
      <c r="M35" s="125"/>
      <c r="N35" s="125"/>
      <c r="O35" s="125"/>
      <c r="P35" s="125"/>
    </row>
    <row r="36" spans="1:21" ht="14.25" customHeight="1">
      <c r="A36" s="125"/>
      <c r="B36" s="125"/>
      <c r="C36" s="125"/>
      <c r="D36" s="125"/>
      <c r="E36" s="125"/>
      <c r="F36" s="125"/>
      <c r="G36" s="125"/>
      <c r="H36" s="125"/>
      <c r="I36" s="125"/>
      <c r="J36" s="125"/>
      <c r="K36" s="125"/>
      <c r="L36" s="125"/>
      <c r="M36" s="125"/>
      <c r="N36" s="125"/>
      <c r="O36" s="125"/>
      <c r="P36" s="125"/>
    </row>
    <row r="37" spans="1:21" ht="14.25" customHeight="1">
      <c r="A37" s="125"/>
      <c r="B37" s="125"/>
      <c r="C37" s="125"/>
      <c r="D37" s="125"/>
      <c r="E37" s="125"/>
      <c r="F37" s="125"/>
      <c r="G37" s="125"/>
      <c r="H37" s="125"/>
      <c r="I37" s="125"/>
      <c r="J37" s="125"/>
      <c r="K37" s="125"/>
      <c r="L37" s="125"/>
      <c r="M37" s="125"/>
      <c r="N37" s="125"/>
      <c r="O37" s="125"/>
      <c r="P37" s="125"/>
    </row>
    <row r="38" spans="1:21" ht="14.25" customHeight="1">
      <c r="A38" s="159" t="s">
        <v>146</v>
      </c>
      <c r="B38" s="160">
        <f>B16</f>
        <v>0</v>
      </c>
      <c r="C38" s="161"/>
      <c r="D38" s="162" t="s">
        <v>133</v>
      </c>
      <c r="E38" s="163">
        <v>0.13800000000000001</v>
      </c>
      <c r="F38" s="164" t="s">
        <v>134</v>
      </c>
      <c r="G38" s="576" t="s">
        <v>135</v>
      </c>
      <c r="H38" s="165">
        <f>C7</f>
        <v>1.77E-2</v>
      </c>
      <c r="I38" s="166" t="s">
        <v>136</v>
      </c>
      <c r="J38" s="165">
        <v>1</v>
      </c>
      <c r="K38" s="165" t="s">
        <v>90</v>
      </c>
      <c r="L38" s="167" t="s">
        <v>137</v>
      </c>
      <c r="M38" s="168">
        <f>B17</f>
        <v>118033.402</v>
      </c>
      <c r="N38" s="162" t="s">
        <v>138</v>
      </c>
      <c r="O38" s="161">
        <v>1026</v>
      </c>
      <c r="P38" s="162" t="s">
        <v>139</v>
      </c>
      <c r="Q38" s="113" t="s">
        <v>135</v>
      </c>
      <c r="R38" s="374">
        <f>B7</f>
        <v>0.01</v>
      </c>
      <c r="S38" s="166" t="s">
        <v>136</v>
      </c>
      <c r="T38" s="165">
        <v>1</v>
      </c>
      <c r="U38" s="165" t="s">
        <v>90</v>
      </c>
    </row>
    <row r="39" spans="1:21" ht="14.25" customHeight="1">
      <c r="A39" s="107"/>
      <c r="B39" s="113"/>
      <c r="C39" s="107"/>
      <c r="D39" s="169" t="s">
        <v>59</v>
      </c>
      <c r="E39" s="107"/>
      <c r="F39" s="170" t="s">
        <v>88</v>
      </c>
      <c r="G39" s="576"/>
      <c r="H39" s="125"/>
      <c r="I39" s="171" t="s">
        <v>140</v>
      </c>
      <c r="J39" s="172">
        <v>2000</v>
      </c>
      <c r="K39" s="125" t="s">
        <v>141</v>
      </c>
      <c r="L39" s="107"/>
      <c r="M39" s="107"/>
      <c r="N39" s="169" t="s">
        <v>59</v>
      </c>
      <c r="O39" s="179">
        <v>1000000</v>
      </c>
      <c r="P39" s="169" t="s">
        <v>68</v>
      </c>
      <c r="Q39" s="113"/>
      <c r="R39" s="125"/>
      <c r="S39" s="171" t="s">
        <v>140</v>
      </c>
      <c r="T39" s="172">
        <v>2000</v>
      </c>
      <c r="U39" s="125" t="s">
        <v>141</v>
      </c>
    </row>
    <row r="40" spans="1:21" ht="14.25" customHeight="1">
      <c r="A40" s="125"/>
      <c r="B40" s="125"/>
      <c r="C40" s="125"/>
      <c r="D40" s="125"/>
      <c r="E40" s="125"/>
      <c r="F40" s="125"/>
      <c r="L40" s="125"/>
      <c r="M40" s="125"/>
      <c r="N40" s="125"/>
      <c r="O40" s="125"/>
      <c r="P40" s="125"/>
      <c r="Q40" s="125"/>
      <c r="R40" s="125"/>
      <c r="S40" s="125"/>
      <c r="T40" s="125"/>
      <c r="U40" s="125"/>
    </row>
    <row r="41" spans="1:21" ht="14.25" customHeight="1">
      <c r="A41" s="159"/>
      <c r="B41" s="174">
        <f>(B38*E38*H38+M38*O38*R38/1000000)/2000</f>
        <v>6.0551135226000012E-4</v>
      </c>
      <c r="C41" s="174"/>
      <c r="D41" s="125" t="s">
        <v>142</v>
      </c>
      <c r="E41" s="159" t="s">
        <v>86</v>
      </c>
      <c r="F41" s="132">
        <f>B41*(2000/8760)</f>
        <v>1.3824460097260275E-4</v>
      </c>
      <c r="G41" s="125" t="s">
        <v>143</v>
      </c>
      <c r="L41" s="125" t="s">
        <v>143</v>
      </c>
      <c r="N41" s="125"/>
      <c r="O41" s="125"/>
      <c r="P41" s="125"/>
      <c r="Q41" s="125"/>
      <c r="R41" s="125"/>
      <c r="S41" s="125"/>
      <c r="T41" s="125"/>
      <c r="U41" s="125"/>
    </row>
    <row r="42" spans="1:21" ht="14.25" customHeight="1">
      <c r="A42" s="159"/>
      <c r="B42" s="174"/>
      <c r="C42" s="174"/>
      <c r="D42" s="125"/>
      <c r="E42" s="159"/>
      <c r="F42" s="132"/>
      <c r="L42" s="125"/>
      <c r="N42" s="125"/>
      <c r="O42" s="125"/>
      <c r="P42" s="125"/>
      <c r="Q42" s="125"/>
      <c r="R42" s="125"/>
      <c r="S42" s="125"/>
      <c r="T42" s="125"/>
      <c r="U42" s="125"/>
    </row>
    <row r="43" spans="1:21" ht="14.25" customHeight="1">
      <c r="A43" s="159"/>
      <c r="B43" s="174"/>
      <c r="C43" s="174"/>
      <c r="D43" s="125"/>
      <c r="E43" s="159"/>
      <c r="F43" s="132"/>
      <c r="L43" s="125"/>
      <c r="N43" s="125"/>
      <c r="O43" s="125"/>
      <c r="P43" s="125"/>
      <c r="Q43" s="125"/>
      <c r="R43" s="125"/>
      <c r="S43" s="125"/>
      <c r="T43" s="125"/>
      <c r="U43" s="125"/>
    </row>
    <row r="44" spans="1:21" ht="14.25" customHeight="1">
      <c r="A44" s="159" t="s">
        <v>147</v>
      </c>
      <c r="B44" s="160">
        <f>B16</f>
        <v>0</v>
      </c>
      <c r="C44" s="161"/>
      <c r="D44" s="162" t="s">
        <v>133</v>
      </c>
      <c r="E44" s="163">
        <v>0.13800000000000001</v>
      </c>
      <c r="F44" s="164" t="s">
        <v>134</v>
      </c>
      <c r="G44" s="576" t="s">
        <v>135</v>
      </c>
      <c r="H44" s="165">
        <f>C8</f>
        <v>1.77E-2</v>
      </c>
      <c r="I44" s="166" t="s">
        <v>136</v>
      </c>
      <c r="J44" s="165">
        <v>1</v>
      </c>
      <c r="K44" s="165" t="s">
        <v>90</v>
      </c>
      <c r="L44" s="167" t="s">
        <v>137</v>
      </c>
      <c r="M44" s="168">
        <f>B17</f>
        <v>118033.402</v>
      </c>
      <c r="N44" s="162" t="s">
        <v>138</v>
      </c>
      <c r="O44" s="161">
        <v>1026</v>
      </c>
      <c r="P44" s="162" t="s">
        <v>139</v>
      </c>
      <c r="Q44" s="113" t="s">
        <v>135</v>
      </c>
      <c r="R44" s="374">
        <f>B8</f>
        <v>0.01</v>
      </c>
      <c r="S44" s="166" t="s">
        <v>136</v>
      </c>
      <c r="T44" s="165">
        <v>1</v>
      </c>
      <c r="U44" s="165" t="s">
        <v>90</v>
      </c>
    </row>
    <row r="45" spans="1:21" ht="14.25" customHeight="1">
      <c r="A45" s="107"/>
      <c r="B45" s="113"/>
      <c r="C45" s="107"/>
      <c r="D45" s="169" t="s">
        <v>59</v>
      </c>
      <c r="E45" s="107"/>
      <c r="F45" s="170" t="s">
        <v>88</v>
      </c>
      <c r="G45" s="576"/>
      <c r="H45" s="125"/>
      <c r="I45" s="171" t="s">
        <v>140</v>
      </c>
      <c r="J45" s="172">
        <v>2000</v>
      </c>
      <c r="K45" s="125" t="s">
        <v>141</v>
      </c>
      <c r="L45" s="107"/>
      <c r="M45" s="107"/>
      <c r="N45" s="169" t="s">
        <v>59</v>
      </c>
      <c r="O45" s="179">
        <v>1000000</v>
      </c>
      <c r="P45" s="169" t="s">
        <v>68</v>
      </c>
      <c r="Q45" s="113"/>
      <c r="R45" s="125"/>
      <c r="S45" s="171" t="s">
        <v>140</v>
      </c>
      <c r="T45" s="172">
        <v>2000</v>
      </c>
      <c r="U45" s="125" t="s">
        <v>141</v>
      </c>
    </row>
    <row r="46" spans="1:21" ht="14.25" customHeight="1">
      <c r="A46" s="125"/>
      <c r="B46" s="125"/>
      <c r="C46" s="125"/>
      <c r="D46" s="125"/>
      <c r="E46" s="125"/>
      <c r="F46" s="125"/>
      <c r="L46" s="125"/>
      <c r="M46" s="125"/>
      <c r="N46" s="125"/>
      <c r="O46" s="125"/>
      <c r="P46" s="125"/>
      <c r="Q46" s="125"/>
      <c r="R46" s="125"/>
      <c r="S46" s="125"/>
      <c r="T46" s="125"/>
      <c r="U46" s="125"/>
    </row>
    <row r="47" spans="1:21" ht="14.25" customHeight="1">
      <c r="A47" s="159"/>
      <c r="B47" s="174">
        <f>(B44*E44*H44+M44*O44*R44/1000000)/2000</f>
        <v>6.0551135226000012E-4</v>
      </c>
      <c r="C47" s="174"/>
      <c r="D47" s="125" t="s">
        <v>142</v>
      </c>
      <c r="E47" s="159" t="s">
        <v>86</v>
      </c>
      <c r="F47" s="132">
        <f>B47*(2000/8760)</f>
        <v>1.3824460097260275E-4</v>
      </c>
      <c r="G47" s="125" t="s">
        <v>143</v>
      </c>
      <c r="L47" s="125" t="s">
        <v>143</v>
      </c>
      <c r="N47" s="125"/>
      <c r="O47" s="125"/>
      <c r="P47" s="125"/>
      <c r="Q47" s="125"/>
      <c r="R47" s="125"/>
      <c r="S47" s="125"/>
      <c r="T47" s="125"/>
      <c r="U47" s="125"/>
    </row>
    <row r="48" spans="1:21" ht="14.25" customHeight="1">
      <c r="A48" s="125"/>
      <c r="B48" s="125"/>
      <c r="C48" s="125"/>
      <c r="D48" s="125"/>
      <c r="E48" s="125"/>
      <c r="F48" s="125"/>
      <c r="L48" s="125"/>
      <c r="M48" s="125"/>
      <c r="N48" s="125"/>
      <c r="O48" s="125"/>
      <c r="P48" s="125"/>
      <c r="Q48" s="125"/>
      <c r="R48" s="125"/>
      <c r="S48" s="125"/>
      <c r="T48" s="125"/>
      <c r="U48" s="125"/>
    </row>
    <row r="49" spans="1:21" ht="14.25" customHeight="1">
      <c r="A49" s="125"/>
      <c r="B49" s="125"/>
      <c r="C49" s="125"/>
      <c r="D49" s="125"/>
      <c r="E49" s="125"/>
      <c r="F49" s="125"/>
      <c r="L49" s="125"/>
      <c r="M49" s="125"/>
      <c r="N49" s="125"/>
      <c r="O49" s="125"/>
      <c r="P49" s="125"/>
      <c r="Q49" s="125"/>
      <c r="R49" s="125"/>
      <c r="S49" s="125"/>
      <c r="T49" s="125"/>
      <c r="U49" s="125"/>
    </row>
    <row r="50" spans="1:21" ht="14.25" customHeight="1">
      <c r="A50" s="159" t="s">
        <v>148</v>
      </c>
      <c r="B50" s="160">
        <f>B16</f>
        <v>0</v>
      </c>
      <c r="C50" s="161"/>
      <c r="D50" s="162" t="s">
        <v>133</v>
      </c>
      <c r="E50" s="163">
        <v>0.13800000000000001</v>
      </c>
      <c r="F50" s="164" t="s">
        <v>134</v>
      </c>
      <c r="G50" s="576" t="s">
        <v>135</v>
      </c>
      <c r="H50" s="165">
        <f>C9</f>
        <v>1.77E-2</v>
      </c>
      <c r="I50" s="166" t="s">
        <v>136</v>
      </c>
      <c r="J50" s="165">
        <v>1</v>
      </c>
      <c r="K50" s="165" t="s">
        <v>90</v>
      </c>
      <c r="L50" s="167" t="s">
        <v>137</v>
      </c>
      <c r="M50" s="168">
        <f>B17</f>
        <v>118033.402</v>
      </c>
      <c r="N50" s="162" t="s">
        <v>138</v>
      </c>
      <c r="O50" s="161">
        <v>1026</v>
      </c>
      <c r="P50" s="162" t="s">
        <v>139</v>
      </c>
      <c r="Q50" s="113" t="s">
        <v>135</v>
      </c>
      <c r="R50" s="374">
        <f>B9</f>
        <v>0.01</v>
      </c>
      <c r="S50" s="166" t="s">
        <v>136</v>
      </c>
      <c r="T50" s="165">
        <v>1</v>
      </c>
      <c r="U50" s="165" t="s">
        <v>90</v>
      </c>
    </row>
    <row r="51" spans="1:21" ht="14.25" customHeight="1">
      <c r="A51" s="107"/>
      <c r="B51" s="113"/>
      <c r="C51" s="107"/>
      <c r="D51" s="169" t="s">
        <v>59</v>
      </c>
      <c r="E51" s="107"/>
      <c r="F51" s="170" t="s">
        <v>88</v>
      </c>
      <c r="G51" s="576"/>
      <c r="H51" s="125"/>
      <c r="I51" s="171" t="s">
        <v>140</v>
      </c>
      <c r="J51" s="172">
        <v>2000</v>
      </c>
      <c r="K51" s="125" t="s">
        <v>141</v>
      </c>
      <c r="L51" s="107"/>
      <c r="M51" s="107"/>
      <c r="N51" s="169" t="s">
        <v>59</v>
      </c>
      <c r="O51" s="179">
        <v>1000000</v>
      </c>
      <c r="P51" s="169" t="s">
        <v>68</v>
      </c>
      <c r="Q51" s="113"/>
      <c r="R51" s="125"/>
      <c r="S51" s="171" t="s">
        <v>140</v>
      </c>
      <c r="T51" s="172">
        <v>2000</v>
      </c>
      <c r="U51" s="125" t="s">
        <v>141</v>
      </c>
    </row>
    <row r="52" spans="1:21" ht="14.25" customHeight="1">
      <c r="A52" s="125"/>
      <c r="B52" s="125"/>
      <c r="C52" s="125"/>
      <c r="D52" s="125"/>
      <c r="E52" s="125"/>
      <c r="F52" s="125"/>
      <c r="L52" s="125"/>
      <c r="M52" s="125"/>
      <c r="N52" s="125"/>
      <c r="O52" s="125"/>
      <c r="P52" s="125"/>
      <c r="Q52" s="125"/>
      <c r="R52" s="125"/>
      <c r="S52" s="125"/>
      <c r="T52" s="125"/>
      <c r="U52" s="125"/>
    </row>
    <row r="53" spans="1:21" ht="14.25" customHeight="1">
      <c r="A53" s="159"/>
      <c r="B53" s="174">
        <f>(B50*E50*H50+M50*O50*R50/1000000)/2000</f>
        <v>6.0551135226000012E-4</v>
      </c>
      <c r="C53" s="174"/>
      <c r="D53" s="125" t="s">
        <v>142</v>
      </c>
      <c r="E53" s="159" t="s">
        <v>86</v>
      </c>
      <c r="F53" s="132">
        <f>B53*(2000/8760)</f>
        <v>1.3824460097260275E-4</v>
      </c>
      <c r="G53" s="125" t="s">
        <v>143</v>
      </c>
      <c r="L53" s="125" t="s">
        <v>143</v>
      </c>
      <c r="N53" s="125"/>
      <c r="O53" s="125"/>
      <c r="P53" s="125"/>
      <c r="Q53" s="125"/>
      <c r="R53" s="125"/>
      <c r="S53" s="125"/>
      <c r="T53" s="125"/>
      <c r="U53" s="125"/>
    </row>
    <row r="54" spans="1:21" ht="14.25" customHeight="1">
      <c r="A54" s="125"/>
      <c r="B54" s="125"/>
      <c r="C54" s="125"/>
      <c r="D54" s="125"/>
      <c r="E54" s="125"/>
      <c r="F54" s="125"/>
      <c r="L54" s="125"/>
      <c r="M54" s="125"/>
      <c r="N54" s="125"/>
      <c r="O54" s="125"/>
      <c r="P54" s="125"/>
      <c r="Q54" s="125"/>
      <c r="R54" s="125"/>
      <c r="S54" s="125"/>
      <c r="T54" s="125"/>
      <c r="U54" s="125"/>
    </row>
    <row r="55" spans="1:21" ht="14.25" customHeight="1">
      <c r="A55" s="125"/>
      <c r="B55" s="125"/>
      <c r="C55" s="125"/>
      <c r="D55" s="125"/>
      <c r="E55" s="125"/>
      <c r="F55" s="125"/>
      <c r="L55" s="125"/>
      <c r="M55" s="125"/>
      <c r="N55" s="125"/>
      <c r="O55" s="125"/>
      <c r="P55" s="125"/>
      <c r="Q55" s="125"/>
      <c r="R55" s="125"/>
      <c r="S55" s="125"/>
      <c r="T55" s="125"/>
      <c r="U55" s="125"/>
    </row>
    <row r="56" spans="1:21" ht="14.25" customHeight="1">
      <c r="A56" s="159" t="s">
        <v>149</v>
      </c>
      <c r="B56" s="160">
        <f>B16</f>
        <v>0</v>
      </c>
      <c r="C56" s="161"/>
      <c r="D56" s="162" t="s">
        <v>133</v>
      </c>
      <c r="E56" s="163">
        <v>0.13800000000000001</v>
      </c>
      <c r="F56" s="164" t="s">
        <v>134</v>
      </c>
      <c r="G56" s="576" t="s">
        <v>135</v>
      </c>
      <c r="H56" s="165">
        <f>C10</f>
        <v>1.5E-3</v>
      </c>
      <c r="I56" s="166" t="s">
        <v>136</v>
      </c>
      <c r="J56" s="165">
        <v>1</v>
      </c>
      <c r="K56" s="165" t="s">
        <v>90</v>
      </c>
      <c r="L56" s="167" t="s">
        <v>137</v>
      </c>
      <c r="M56" s="168">
        <f>B17</f>
        <v>118033.402</v>
      </c>
      <c r="N56" s="162" t="s">
        <v>138</v>
      </c>
      <c r="O56" s="161">
        <v>1026</v>
      </c>
      <c r="P56" s="162" t="s">
        <v>139</v>
      </c>
      <c r="Q56" s="113" t="s">
        <v>135</v>
      </c>
      <c r="R56" s="374">
        <f>B10</f>
        <v>2.7847396268448903E-3</v>
      </c>
      <c r="S56" s="166" t="s">
        <v>136</v>
      </c>
      <c r="T56" s="165">
        <v>1</v>
      </c>
      <c r="U56" s="165" t="s">
        <v>90</v>
      </c>
    </row>
    <row r="57" spans="1:21" ht="14.25" customHeight="1">
      <c r="A57" s="107"/>
      <c r="B57" s="113"/>
      <c r="C57" s="107"/>
      <c r="D57" s="169" t="s">
        <v>59</v>
      </c>
      <c r="E57" s="107"/>
      <c r="F57" s="170" t="s">
        <v>88</v>
      </c>
      <c r="G57" s="576"/>
      <c r="H57" s="125"/>
      <c r="I57" s="171" t="s">
        <v>140</v>
      </c>
      <c r="J57" s="172">
        <v>2000</v>
      </c>
      <c r="K57" s="125" t="s">
        <v>141</v>
      </c>
      <c r="L57" s="107"/>
      <c r="M57" s="107"/>
      <c r="N57" s="169" t="s">
        <v>59</v>
      </c>
      <c r="O57" s="179">
        <v>1000000</v>
      </c>
      <c r="P57" s="169" t="s">
        <v>68</v>
      </c>
      <c r="Q57" s="113"/>
      <c r="R57" s="125"/>
      <c r="S57" s="171" t="s">
        <v>140</v>
      </c>
      <c r="T57" s="172">
        <v>2000</v>
      </c>
      <c r="U57" s="125" t="s">
        <v>141</v>
      </c>
    </row>
    <row r="58" spans="1:21" ht="14.25" customHeight="1">
      <c r="A58" s="125"/>
      <c r="B58" s="125"/>
      <c r="C58" s="125"/>
      <c r="D58" s="125"/>
      <c r="E58" s="125"/>
      <c r="F58" s="125"/>
      <c r="L58" s="125"/>
      <c r="M58" s="125"/>
      <c r="N58" s="125"/>
      <c r="O58" s="125"/>
      <c r="P58" s="125"/>
      <c r="Q58" s="125"/>
      <c r="R58" s="125"/>
      <c r="S58" s="125"/>
      <c r="T58" s="125"/>
      <c r="U58" s="125"/>
    </row>
    <row r="59" spans="1:21" ht="14.25" customHeight="1">
      <c r="A59" s="159"/>
      <c r="B59" s="174">
        <f>(B56*E56*H56+M56*O56*R56/1000000)/2000</f>
        <v>1.6861914571428578E-4</v>
      </c>
      <c r="C59" s="174"/>
      <c r="D59" s="125" t="s">
        <v>142</v>
      </c>
      <c r="E59" s="159" t="s">
        <v>86</v>
      </c>
      <c r="F59" s="132">
        <f>B59*(2000/8760)</f>
        <v>3.8497521852576662E-5</v>
      </c>
      <c r="G59" s="125" t="s">
        <v>143</v>
      </c>
      <c r="L59" s="125" t="s">
        <v>143</v>
      </c>
      <c r="N59" s="125"/>
      <c r="O59" s="125"/>
      <c r="P59" s="125"/>
      <c r="Q59" s="125"/>
      <c r="R59" s="125"/>
      <c r="S59" s="125"/>
      <c r="T59" s="125"/>
      <c r="U59" s="125"/>
    </row>
    <row r="60" spans="1:21" ht="14.25" customHeight="1">
      <c r="A60" s="125"/>
      <c r="B60" s="125"/>
      <c r="C60" s="125"/>
      <c r="D60" s="125"/>
      <c r="E60" s="125"/>
      <c r="F60" s="125"/>
      <c r="L60" s="125"/>
      <c r="M60" s="125"/>
      <c r="N60" s="125"/>
      <c r="O60" s="125"/>
      <c r="P60" s="125"/>
      <c r="Q60" s="125"/>
      <c r="R60" s="125"/>
      <c r="S60" s="125"/>
      <c r="T60" s="125"/>
      <c r="U60" s="125"/>
    </row>
    <row r="61" spans="1:21" ht="14.25" customHeight="1">
      <c r="A61" s="125"/>
      <c r="B61" s="125"/>
      <c r="C61" s="125"/>
      <c r="D61" s="125"/>
      <c r="E61" s="125"/>
      <c r="F61" s="125"/>
      <c r="L61" s="125"/>
      <c r="M61" s="125"/>
      <c r="N61" s="125"/>
      <c r="O61" s="125"/>
      <c r="P61" s="125"/>
      <c r="Q61" s="125"/>
      <c r="R61" s="125"/>
      <c r="S61" s="125"/>
      <c r="T61" s="125"/>
      <c r="U61" s="125"/>
    </row>
    <row r="62" spans="1:21" ht="14.25" customHeight="1">
      <c r="A62" s="159" t="s">
        <v>151</v>
      </c>
      <c r="B62" s="160">
        <f>B16</f>
        <v>0</v>
      </c>
      <c r="C62" s="161"/>
      <c r="D62" s="162" t="s">
        <v>133</v>
      </c>
      <c r="E62" s="163">
        <v>0.13800000000000001</v>
      </c>
      <c r="F62" s="164" t="s">
        <v>134</v>
      </c>
      <c r="G62" s="576" t="s">
        <v>135</v>
      </c>
      <c r="H62" s="375">
        <f>C11</f>
        <v>2.2968750000000002E-4</v>
      </c>
      <c r="I62" s="166" t="s">
        <v>136</v>
      </c>
      <c r="J62" s="165">
        <v>1</v>
      </c>
      <c r="K62" s="165" t="s">
        <v>90</v>
      </c>
      <c r="L62" s="167" t="s">
        <v>137</v>
      </c>
      <c r="M62" s="168">
        <f>B17</f>
        <v>118033.402</v>
      </c>
      <c r="N62" s="162" t="s">
        <v>138</v>
      </c>
      <c r="O62" s="161">
        <v>1026</v>
      </c>
      <c r="P62" s="162" t="s">
        <v>139</v>
      </c>
      <c r="Q62" s="113" t="s">
        <v>135</v>
      </c>
      <c r="R62" s="375">
        <f>B11</f>
        <v>4.2641325536062387E-4</v>
      </c>
      <c r="S62" s="166" t="s">
        <v>136</v>
      </c>
      <c r="T62" s="165">
        <v>1</v>
      </c>
      <c r="U62" s="165" t="s">
        <v>90</v>
      </c>
    </row>
    <row r="63" spans="1:21" ht="14.25" customHeight="1">
      <c r="A63" s="107"/>
      <c r="B63" s="113"/>
      <c r="C63" s="107"/>
      <c r="D63" s="169" t="s">
        <v>59</v>
      </c>
      <c r="E63" s="107"/>
      <c r="F63" s="170" t="s">
        <v>88</v>
      </c>
      <c r="G63" s="576"/>
      <c r="H63" s="125"/>
      <c r="I63" s="171" t="s">
        <v>140</v>
      </c>
      <c r="J63" s="172">
        <v>2000</v>
      </c>
      <c r="K63" s="125" t="s">
        <v>141</v>
      </c>
      <c r="L63" s="107"/>
      <c r="M63" s="107"/>
      <c r="N63" s="169" t="s">
        <v>59</v>
      </c>
      <c r="O63" s="179">
        <v>1000000</v>
      </c>
      <c r="P63" s="169" t="s">
        <v>68</v>
      </c>
      <c r="Q63" s="113"/>
      <c r="R63" s="125"/>
      <c r="S63" s="171" t="s">
        <v>140</v>
      </c>
      <c r="T63" s="172">
        <v>2000</v>
      </c>
      <c r="U63" s="125" t="s">
        <v>141</v>
      </c>
    </row>
    <row r="64" spans="1:21" ht="14.25" customHeight="1">
      <c r="A64" s="125"/>
      <c r="B64" s="125"/>
      <c r="C64" s="125"/>
      <c r="D64" s="125"/>
      <c r="E64" s="125"/>
      <c r="F64" s="125"/>
      <c r="L64" s="125"/>
      <c r="M64" s="125"/>
      <c r="N64" s="125"/>
      <c r="O64" s="125"/>
      <c r="P64" s="125"/>
      <c r="Q64" s="125"/>
      <c r="R64" s="125"/>
      <c r="S64" s="125"/>
      <c r="T64" s="125"/>
      <c r="U64" s="125"/>
    </row>
    <row r="65" spans="1:21" ht="14.25" customHeight="1">
      <c r="A65" s="159"/>
      <c r="B65" s="174">
        <f>(B62*E62*H62+M62*O62*R62/1000000)/2000</f>
        <v>2.581980668750001E-5</v>
      </c>
      <c r="C65" s="174"/>
      <c r="D65" s="125" t="s">
        <v>142</v>
      </c>
      <c r="E65" s="159" t="s">
        <v>86</v>
      </c>
      <c r="F65" s="132">
        <f>B65*(2000/8760)</f>
        <v>5.894933033675801E-6</v>
      </c>
      <c r="G65" s="125" t="s">
        <v>143</v>
      </c>
      <c r="L65" s="125" t="s">
        <v>143</v>
      </c>
      <c r="N65" s="125"/>
      <c r="O65" s="125"/>
      <c r="P65" s="125"/>
      <c r="Q65" s="125"/>
      <c r="R65" s="125"/>
      <c r="S65" s="125"/>
      <c r="T65" s="125"/>
      <c r="U65" s="125"/>
    </row>
    <row r="66" spans="1:21" ht="14.25" customHeight="1">
      <c r="A66" s="125"/>
      <c r="B66" s="125"/>
      <c r="C66" s="125"/>
      <c r="D66" s="125"/>
      <c r="E66" s="125"/>
      <c r="F66" s="125"/>
      <c r="L66" s="125"/>
      <c r="M66" s="125"/>
      <c r="N66" s="125"/>
      <c r="O66" s="125"/>
      <c r="P66" s="125"/>
      <c r="Q66" s="125"/>
      <c r="R66" s="125"/>
      <c r="S66" s="125"/>
      <c r="T66" s="125"/>
      <c r="U66" s="125"/>
    </row>
    <row r="67" spans="1:21" ht="14.25" customHeight="1">
      <c r="A67" s="125"/>
      <c r="B67" s="125"/>
      <c r="C67" s="125"/>
      <c r="D67" s="125"/>
      <c r="E67" s="125"/>
      <c r="F67" s="125"/>
      <c r="L67" s="125"/>
      <c r="M67" s="125"/>
      <c r="N67" s="125"/>
      <c r="O67" s="125"/>
      <c r="P67" s="125"/>
      <c r="Q67" s="125"/>
      <c r="R67" s="125"/>
      <c r="S67" s="125"/>
      <c r="T67" s="125"/>
      <c r="U67" s="125"/>
    </row>
    <row r="68" spans="1:21" ht="14.25" customHeight="1">
      <c r="A68" s="159" t="s">
        <v>152</v>
      </c>
      <c r="B68" s="160">
        <f>B16</f>
        <v>0</v>
      </c>
      <c r="C68" s="161"/>
      <c r="D68" s="162" t="s">
        <v>133</v>
      </c>
      <c r="E68" s="163">
        <v>0.13800000000000001</v>
      </c>
      <c r="F68" s="164" t="s">
        <v>134</v>
      </c>
      <c r="G68" s="576" t="s">
        <v>135</v>
      </c>
      <c r="H68" s="181">
        <f>C12</f>
        <v>1.4E-5</v>
      </c>
      <c r="I68" s="166" t="s">
        <v>136</v>
      </c>
      <c r="J68" s="165">
        <v>1</v>
      </c>
      <c r="K68" s="165" t="s">
        <v>90</v>
      </c>
      <c r="L68" s="167" t="s">
        <v>137</v>
      </c>
      <c r="M68" s="168">
        <f>B17</f>
        <v>118033.402</v>
      </c>
      <c r="N68" s="162" t="s">
        <v>138</v>
      </c>
      <c r="O68" s="161">
        <v>1026</v>
      </c>
      <c r="P68" s="162" t="s">
        <v>139</v>
      </c>
      <c r="Q68" s="113" t="s">
        <v>135</v>
      </c>
      <c r="R68" s="165">
        <f>B12</f>
        <v>0</v>
      </c>
      <c r="S68" s="166" t="s">
        <v>136</v>
      </c>
      <c r="T68" s="165">
        <v>1</v>
      </c>
      <c r="U68" s="165" t="s">
        <v>90</v>
      </c>
    </row>
    <row r="69" spans="1:21" ht="14.25" customHeight="1">
      <c r="A69" s="107"/>
      <c r="B69" s="113"/>
      <c r="C69" s="107"/>
      <c r="D69" s="169" t="s">
        <v>59</v>
      </c>
      <c r="E69" s="107"/>
      <c r="F69" s="170" t="s">
        <v>88</v>
      </c>
      <c r="G69" s="576"/>
      <c r="H69" s="125"/>
      <c r="I69" s="171" t="s">
        <v>140</v>
      </c>
      <c r="J69" s="172">
        <v>2000</v>
      </c>
      <c r="K69" s="125" t="s">
        <v>141</v>
      </c>
      <c r="L69" s="107"/>
      <c r="M69" s="107"/>
      <c r="N69" s="169" t="s">
        <v>59</v>
      </c>
      <c r="O69" s="179">
        <v>1000000</v>
      </c>
      <c r="P69" s="169" t="s">
        <v>68</v>
      </c>
      <c r="Q69" s="113"/>
      <c r="R69" s="125"/>
      <c r="S69" s="171" t="s">
        <v>140</v>
      </c>
      <c r="T69" s="172">
        <v>2000</v>
      </c>
      <c r="U69" s="125" t="s">
        <v>141</v>
      </c>
    </row>
    <row r="70" spans="1:21" ht="14.25" customHeight="1">
      <c r="A70" s="125"/>
      <c r="B70" s="125"/>
      <c r="C70" s="125"/>
      <c r="D70" s="125"/>
      <c r="E70" s="125"/>
      <c r="F70" s="125"/>
      <c r="G70" s="125"/>
      <c r="H70" s="125"/>
      <c r="I70" s="125"/>
      <c r="J70" s="125"/>
      <c r="K70" s="125"/>
      <c r="L70" s="125"/>
      <c r="M70" s="125"/>
      <c r="N70" s="125"/>
      <c r="O70" s="125"/>
      <c r="P70" s="125"/>
    </row>
    <row r="71" spans="1:21" ht="14.25" customHeight="1">
      <c r="A71" s="159"/>
      <c r="B71" s="174">
        <f>(B68*E68*H68+M68*O68*R68/1000000)/2000</f>
        <v>0</v>
      </c>
      <c r="C71" s="174"/>
      <c r="D71" s="125" t="s">
        <v>142</v>
      </c>
      <c r="E71" s="159" t="s">
        <v>86</v>
      </c>
      <c r="F71" s="132">
        <f>B71*(2000/8760)</f>
        <v>0</v>
      </c>
      <c r="G71" s="125" t="s">
        <v>143</v>
      </c>
      <c r="I71" s="125"/>
      <c r="J71" s="125"/>
      <c r="K71" s="125"/>
      <c r="L71" s="125"/>
      <c r="M71" s="125"/>
      <c r="N71" s="125"/>
      <c r="O71" s="125"/>
      <c r="P71" s="125"/>
    </row>
    <row r="74" spans="1:21" ht="14.25" customHeight="1">
      <c r="A74" s="159" t="s">
        <v>153</v>
      </c>
      <c r="B74" s="160">
        <f>B16</f>
        <v>0</v>
      </c>
      <c r="C74" s="161"/>
      <c r="D74" s="162" t="s">
        <v>133</v>
      </c>
      <c r="E74" s="163">
        <v>0.13800000000000001</v>
      </c>
      <c r="F74" s="164" t="s">
        <v>134</v>
      </c>
      <c r="G74" s="576" t="s">
        <v>135</v>
      </c>
      <c r="H74" s="376">
        <f>C13</f>
        <v>163.61000000000001</v>
      </c>
      <c r="I74" s="166" t="s">
        <v>136</v>
      </c>
      <c r="J74" s="165">
        <v>1</v>
      </c>
      <c r="K74" s="165" t="s">
        <v>90</v>
      </c>
      <c r="L74" s="167" t="s">
        <v>137</v>
      </c>
      <c r="M74" s="168">
        <f>B17</f>
        <v>118033.402</v>
      </c>
      <c r="N74" s="162" t="s">
        <v>138</v>
      </c>
      <c r="O74" s="161">
        <v>1026</v>
      </c>
      <c r="P74" s="162" t="s">
        <v>139</v>
      </c>
      <c r="Q74" s="113" t="s">
        <v>135</v>
      </c>
      <c r="R74" s="376">
        <f>B13</f>
        <v>117.09688808000001</v>
      </c>
      <c r="S74" s="166" t="s">
        <v>136</v>
      </c>
      <c r="T74" s="165">
        <v>1</v>
      </c>
      <c r="U74" s="165" t="s">
        <v>90</v>
      </c>
    </row>
    <row r="75" spans="1:21" ht="14.25" customHeight="1">
      <c r="A75" s="107"/>
      <c r="B75" s="113"/>
      <c r="C75" s="107"/>
      <c r="D75" s="169" t="s">
        <v>59</v>
      </c>
      <c r="E75" s="107"/>
      <c r="F75" s="170" t="s">
        <v>88</v>
      </c>
      <c r="G75" s="576"/>
      <c r="H75" s="125"/>
      <c r="I75" s="171" t="s">
        <v>140</v>
      </c>
      <c r="J75" s="172">
        <v>2000</v>
      </c>
      <c r="K75" s="125" t="s">
        <v>141</v>
      </c>
      <c r="L75" s="107"/>
      <c r="M75" s="107"/>
      <c r="N75" s="169" t="s">
        <v>59</v>
      </c>
      <c r="O75" s="179">
        <v>1000000</v>
      </c>
      <c r="P75" s="169" t="s">
        <v>68</v>
      </c>
      <c r="Q75" s="113"/>
      <c r="R75" s="125"/>
      <c r="S75" s="171" t="s">
        <v>140</v>
      </c>
      <c r="T75" s="172">
        <v>2000</v>
      </c>
      <c r="U75" s="125" t="s">
        <v>141</v>
      </c>
    </row>
    <row r="76" spans="1:21" ht="14.25" customHeight="1">
      <c r="A76" s="125"/>
      <c r="B76" s="125"/>
      <c r="C76" s="125"/>
      <c r="D76" s="125"/>
      <c r="E76" s="125"/>
      <c r="F76" s="125"/>
      <c r="G76" s="125"/>
      <c r="H76" s="125"/>
      <c r="I76" s="125"/>
      <c r="J76" s="125"/>
      <c r="K76" s="125"/>
      <c r="L76" s="125"/>
      <c r="M76" s="125"/>
      <c r="N76" s="125"/>
      <c r="O76" s="125"/>
      <c r="P76" s="125"/>
    </row>
    <row r="77" spans="1:21" ht="14.25" customHeight="1">
      <c r="A77" s="159"/>
      <c r="B77" s="174">
        <f>(B74*E74*H74+M74*O74*R74/1000000)/2000</f>
        <v>7.0903495046758689</v>
      </c>
      <c r="C77" s="174"/>
      <c r="D77" s="125" t="s">
        <v>142</v>
      </c>
      <c r="E77" s="159" t="s">
        <v>86</v>
      </c>
      <c r="F77" s="132">
        <f>B77*(2000/8760)</f>
        <v>1.6188012567753125</v>
      </c>
      <c r="G77" s="125" t="s">
        <v>143</v>
      </c>
      <c r="I77" s="125"/>
      <c r="J77" s="125"/>
      <c r="K77" s="125"/>
      <c r="L77" s="125"/>
      <c r="M77" s="125"/>
      <c r="N77" s="125"/>
      <c r="O77" s="125"/>
      <c r="P77" s="125"/>
    </row>
    <row r="78" spans="1:21" ht="14.25" customHeight="1">
      <c r="A78" s="125"/>
    </row>
    <row r="79" spans="1:21" ht="14.25" customHeight="1">
      <c r="A79" s="125"/>
      <c r="B79" s="125"/>
      <c r="C79" s="125"/>
      <c r="D79" s="125"/>
      <c r="E79" s="125"/>
      <c r="F79" s="125"/>
      <c r="L79" s="125"/>
      <c r="M79" s="125"/>
      <c r="N79" s="125"/>
      <c r="O79" s="125"/>
      <c r="P79" s="125"/>
      <c r="Q79" s="125"/>
      <c r="R79" s="125"/>
      <c r="S79" s="125"/>
      <c r="T79" s="125"/>
      <c r="U79" s="125"/>
    </row>
    <row r="80" spans="1:21" ht="14.25" customHeight="1">
      <c r="A80" s="85"/>
      <c r="B80" s="81" t="s">
        <v>154</v>
      </c>
      <c r="C80" s="81"/>
      <c r="D80" s="81"/>
      <c r="E80" s="81"/>
      <c r="F80" s="81"/>
      <c r="G80" s="81"/>
      <c r="H80" s="81"/>
      <c r="I80" s="81"/>
      <c r="J80" s="81"/>
      <c r="K80" s="85"/>
      <c r="L80" s="85"/>
      <c r="M80" s="85"/>
      <c r="N80" s="85"/>
      <c r="O80" s="85"/>
      <c r="P80" s="85"/>
    </row>
    <row r="81" spans="2:10" ht="14.25" customHeight="1">
      <c r="B81" s="81" t="s">
        <v>155</v>
      </c>
      <c r="C81" s="81"/>
      <c r="D81" s="81"/>
      <c r="E81" s="81"/>
      <c r="F81" s="81"/>
      <c r="G81" s="81"/>
      <c r="H81" s="81"/>
      <c r="I81" s="81"/>
      <c r="J81" s="81"/>
    </row>
    <row r="82" spans="2:10" ht="14.25" customHeight="1">
      <c r="B82" s="81" t="s">
        <v>273</v>
      </c>
      <c r="C82" s="81"/>
      <c r="D82" s="81"/>
      <c r="E82" s="81"/>
      <c r="F82" s="81"/>
      <c r="G82" s="81"/>
      <c r="H82" s="81"/>
      <c r="I82" s="81"/>
      <c r="J82" s="81"/>
    </row>
    <row r="83" spans="2:10" ht="14.25" customHeight="1">
      <c r="B83" s="81" t="s">
        <v>157</v>
      </c>
      <c r="C83" s="81"/>
      <c r="D83" s="85"/>
      <c r="E83" s="85"/>
      <c r="F83" s="85"/>
      <c r="G83" s="85"/>
      <c r="H83" s="85"/>
      <c r="I83" s="85"/>
      <c r="J83" s="85"/>
    </row>
  </sheetData>
  <mergeCells count="13">
    <mergeCell ref="A1:P1"/>
    <mergeCell ref="F6:N6"/>
    <mergeCell ref="G20:G21"/>
    <mergeCell ref="Q20:Q21"/>
    <mergeCell ref="G26:G27"/>
    <mergeCell ref="G62:G63"/>
    <mergeCell ref="G68:G69"/>
    <mergeCell ref="G74:G75"/>
    <mergeCell ref="G32:G33"/>
    <mergeCell ref="G38:G39"/>
    <mergeCell ref="G44:G45"/>
    <mergeCell ref="G50:G51"/>
    <mergeCell ref="G56:G57"/>
  </mergeCells>
  <pageMargins left="0.7" right="0.7" top="0.75" bottom="0.75" header="0.511811023622047" footer="0.511811023622047"/>
  <pageSetup paperSize="9" orientation="portrait" horizontalDpi="300" verticalDpi="300"/>
  <legacy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3:AF37"/>
  <sheetViews>
    <sheetView zoomScaleNormal="100" workbookViewId="0"/>
  </sheetViews>
  <sheetFormatPr defaultColWidth="8.85546875" defaultRowHeight="15"/>
  <cols>
    <col min="1" max="1" width="10.7109375" style="377" customWidth="1"/>
    <col min="2" max="2" width="15.140625" style="377" customWidth="1"/>
    <col min="3" max="3" width="14.7109375" style="377" customWidth="1"/>
    <col min="4" max="4" width="14.5703125" style="377" customWidth="1"/>
    <col min="5" max="5" width="15" style="377" customWidth="1"/>
    <col min="6" max="6" width="13.5703125" style="377" customWidth="1"/>
    <col min="7" max="7" width="13.28515625" style="377" customWidth="1"/>
    <col min="8" max="8" width="13.7109375" style="377" customWidth="1"/>
    <col min="9" max="9" width="15" style="377" customWidth="1"/>
    <col min="10" max="10" width="14.140625" style="377" customWidth="1"/>
    <col min="11" max="11" width="12.85546875" style="377" customWidth="1"/>
    <col min="12" max="12" width="8.85546875" style="377"/>
    <col min="13" max="14" width="12.85546875" style="377" customWidth="1"/>
    <col min="15" max="15" width="14.7109375" style="377" customWidth="1"/>
    <col min="16" max="19" width="8.85546875" style="377"/>
    <col min="20" max="20" width="12.28515625" style="377" customWidth="1"/>
    <col min="21" max="21" width="19" style="377" customWidth="1"/>
    <col min="22" max="22" width="14.42578125" style="377" customWidth="1"/>
    <col min="23" max="16384" width="8.85546875" style="377"/>
  </cols>
  <sheetData>
    <row r="3" spans="1:32" ht="14.25" customHeight="1">
      <c r="A3" s="595" t="s">
        <v>274</v>
      </c>
      <c r="B3" s="595"/>
      <c r="C3" s="595"/>
      <c r="E3" s="595" t="s">
        <v>275</v>
      </c>
      <c r="F3" s="595"/>
      <c r="G3" s="595"/>
      <c r="I3" s="595" t="s">
        <v>276</v>
      </c>
      <c r="J3" s="595"/>
      <c r="K3" s="595"/>
      <c r="M3" s="595" t="s">
        <v>277</v>
      </c>
      <c r="N3" s="595"/>
      <c r="O3" s="595"/>
    </row>
    <row r="4" spans="1:32" ht="14.25" customHeight="1">
      <c r="A4" s="595" t="s">
        <v>240</v>
      </c>
      <c r="B4" s="595"/>
      <c r="C4" s="595"/>
      <c r="E4" s="595" t="s">
        <v>240</v>
      </c>
      <c r="F4" s="595"/>
      <c r="G4" s="595"/>
      <c r="I4" s="595" t="s">
        <v>240</v>
      </c>
      <c r="J4" s="595"/>
      <c r="K4" s="595"/>
      <c r="M4" s="595" t="s">
        <v>240</v>
      </c>
      <c r="N4" s="595"/>
      <c r="O4" s="595"/>
      <c r="T4" s="378" t="s">
        <v>278</v>
      </c>
    </row>
    <row r="5" spans="1:32" ht="14.25" customHeight="1">
      <c r="A5" s="379" t="s">
        <v>59</v>
      </c>
      <c r="B5" s="558" t="s">
        <v>279</v>
      </c>
      <c r="C5" s="558" t="s">
        <v>280</v>
      </c>
      <c r="E5" s="379" t="s">
        <v>59</v>
      </c>
      <c r="F5" s="379" t="s">
        <v>281</v>
      </c>
      <c r="G5" s="379" t="s">
        <v>282</v>
      </c>
      <c r="I5" s="558" t="s">
        <v>283</v>
      </c>
      <c r="J5" s="558" t="s">
        <v>284</v>
      </c>
      <c r="K5" s="558" t="s">
        <v>285</v>
      </c>
      <c r="M5" s="558" t="s">
        <v>59</v>
      </c>
      <c r="N5" s="380" t="s">
        <v>286</v>
      </c>
      <c r="O5" s="380" t="s">
        <v>287</v>
      </c>
      <c r="T5" s="381"/>
      <c r="U5" s="382" t="s">
        <v>288</v>
      </c>
      <c r="V5" s="382" t="s">
        <v>289</v>
      </c>
      <c r="W5" s="559" t="s">
        <v>286</v>
      </c>
      <c r="X5" s="559" t="s">
        <v>287</v>
      </c>
      <c r="Y5" s="383" t="s">
        <v>290</v>
      </c>
      <c r="Z5" s="383" t="s">
        <v>291</v>
      </c>
      <c r="AA5" s="383" t="s">
        <v>292</v>
      </c>
      <c r="AB5" s="383" t="s">
        <v>293</v>
      </c>
      <c r="AC5" s="382" t="s">
        <v>279</v>
      </c>
      <c r="AD5" s="382" t="s">
        <v>280</v>
      </c>
      <c r="AE5" s="559" t="s">
        <v>284</v>
      </c>
      <c r="AF5" s="559" t="s">
        <v>285</v>
      </c>
    </row>
    <row r="6" spans="1:32" ht="14.25" customHeight="1">
      <c r="A6" s="32">
        <v>46023</v>
      </c>
      <c r="B6" s="384"/>
      <c r="C6" s="384"/>
      <c r="E6" s="32">
        <v>46023</v>
      </c>
      <c r="F6" s="384"/>
      <c r="G6" s="384"/>
      <c r="I6" s="32">
        <v>46023</v>
      </c>
      <c r="J6" s="384"/>
      <c r="K6" s="384"/>
      <c r="M6" s="32">
        <v>46023</v>
      </c>
      <c r="N6" s="384"/>
      <c r="O6" s="384"/>
      <c r="T6" s="32">
        <v>46023</v>
      </c>
      <c r="U6" s="384">
        <v>0.01</v>
      </c>
      <c r="V6" s="384">
        <v>0.01</v>
      </c>
      <c r="W6" s="384">
        <v>0.01</v>
      </c>
      <c r="X6" s="384">
        <v>0.01</v>
      </c>
      <c r="Y6" s="384">
        <v>0.01</v>
      </c>
      <c r="Z6" s="384">
        <v>0.01</v>
      </c>
      <c r="AA6" s="384">
        <v>0.01</v>
      </c>
      <c r="AB6" s="384">
        <v>0.01</v>
      </c>
      <c r="AC6" s="384">
        <v>0.01</v>
      </c>
      <c r="AD6" s="384">
        <v>0.01</v>
      </c>
      <c r="AE6" s="384">
        <v>0.01</v>
      </c>
      <c r="AF6" s="384">
        <v>0.01</v>
      </c>
    </row>
    <row r="7" spans="1:32" ht="14.25" customHeight="1">
      <c r="A7" s="40">
        <v>46054</v>
      </c>
      <c r="B7" s="384"/>
      <c r="C7" s="384"/>
      <c r="E7" s="40">
        <v>46054</v>
      </c>
      <c r="F7" s="384"/>
      <c r="G7" s="384"/>
      <c r="I7" s="40">
        <v>46054</v>
      </c>
      <c r="J7" s="384"/>
      <c r="K7" s="384"/>
      <c r="M7" s="40">
        <v>46054</v>
      </c>
      <c r="N7" s="384"/>
      <c r="O7" s="384"/>
      <c r="T7" s="40">
        <v>46054</v>
      </c>
      <c r="U7" s="384">
        <v>0.01</v>
      </c>
      <c r="V7" s="384">
        <v>0.01</v>
      </c>
      <c r="W7" s="384">
        <v>0.01</v>
      </c>
      <c r="X7" s="384">
        <v>0.01</v>
      </c>
      <c r="Y7" s="384">
        <v>0.01</v>
      </c>
      <c r="Z7" s="384">
        <v>0.01</v>
      </c>
      <c r="AA7" s="384">
        <v>0.01</v>
      </c>
      <c r="AB7" s="384">
        <v>0.01</v>
      </c>
      <c r="AC7" s="384">
        <v>0.01</v>
      </c>
      <c r="AD7" s="384">
        <v>0.01</v>
      </c>
      <c r="AE7" s="384">
        <v>0.01</v>
      </c>
      <c r="AF7" s="384">
        <v>0.01</v>
      </c>
    </row>
    <row r="8" spans="1:32" ht="14.25" customHeight="1">
      <c r="A8" s="40">
        <v>46082</v>
      </c>
      <c r="B8" s="384"/>
      <c r="C8" s="384"/>
      <c r="E8" s="40">
        <v>46082</v>
      </c>
      <c r="F8" s="384"/>
      <c r="G8" s="384"/>
      <c r="I8" s="40">
        <v>46082</v>
      </c>
      <c r="J8" s="384"/>
      <c r="K8" s="384"/>
      <c r="M8" s="40">
        <v>46082</v>
      </c>
      <c r="N8" s="384"/>
      <c r="O8" s="384"/>
      <c r="T8" s="40">
        <v>46082</v>
      </c>
      <c r="U8" s="384">
        <v>0.01</v>
      </c>
      <c r="V8" s="384">
        <v>0.01</v>
      </c>
      <c r="W8" s="384">
        <v>0.01</v>
      </c>
      <c r="X8" s="384">
        <v>0.01</v>
      </c>
      <c r="Y8" s="384">
        <v>0.01</v>
      </c>
      <c r="Z8" s="384">
        <v>0.01</v>
      </c>
      <c r="AA8" s="384">
        <v>0.01</v>
      </c>
      <c r="AB8" s="384">
        <v>0.01</v>
      </c>
      <c r="AC8" s="384">
        <v>0.01</v>
      </c>
      <c r="AD8" s="384">
        <v>0.01</v>
      </c>
      <c r="AE8" s="384">
        <v>0.01</v>
      </c>
      <c r="AF8" s="384">
        <v>0.01</v>
      </c>
    </row>
    <row r="9" spans="1:32" ht="14.25" customHeight="1">
      <c r="A9" s="40">
        <v>46113</v>
      </c>
      <c r="B9" s="384"/>
      <c r="C9" s="384"/>
      <c r="E9" s="40">
        <v>46113</v>
      </c>
      <c r="F9" s="384"/>
      <c r="G9" s="384"/>
      <c r="I9" s="40">
        <v>46113</v>
      </c>
      <c r="J9" s="384"/>
      <c r="K9" s="384"/>
      <c r="M9" s="40">
        <v>46113</v>
      </c>
      <c r="N9" s="384"/>
      <c r="O9" s="384"/>
      <c r="T9" s="40">
        <v>46113</v>
      </c>
      <c r="U9" s="384">
        <v>0.01</v>
      </c>
      <c r="V9" s="384">
        <v>0.01</v>
      </c>
      <c r="W9" s="384">
        <v>0.01</v>
      </c>
      <c r="X9" s="384">
        <v>0.01</v>
      </c>
      <c r="Y9" s="384">
        <v>0.01</v>
      </c>
      <c r="Z9" s="384">
        <v>0.01</v>
      </c>
      <c r="AA9" s="384">
        <v>0.01</v>
      </c>
      <c r="AB9" s="384">
        <v>0.01</v>
      </c>
      <c r="AC9" s="384">
        <v>0.01</v>
      </c>
      <c r="AD9" s="384">
        <v>0.01</v>
      </c>
      <c r="AE9" s="384">
        <v>0.01</v>
      </c>
      <c r="AF9" s="384">
        <v>0.01</v>
      </c>
    </row>
    <row r="10" spans="1:32" ht="14.25" customHeight="1">
      <c r="A10" s="40">
        <v>46143</v>
      </c>
      <c r="B10" s="384"/>
      <c r="C10" s="384"/>
      <c r="E10" s="40">
        <v>46143</v>
      </c>
      <c r="F10" s="384"/>
      <c r="G10" s="384"/>
      <c r="I10" s="40">
        <v>46143</v>
      </c>
      <c r="J10" s="384"/>
      <c r="K10" s="384"/>
      <c r="M10" s="40">
        <v>46143</v>
      </c>
      <c r="N10" s="384"/>
      <c r="O10" s="384"/>
      <c r="T10" s="40">
        <v>46143</v>
      </c>
      <c r="U10" s="384">
        <v>0.01</v>
      </c>
      <c r="V10" s="384">
        <v>0.01</v>
      </c>
      <c r="W10" s="384">
        <v>0.01</v>
      </c>
      <c r="X10" s="384">
        <v>0.01</v>
      </c>
      <c r="Y10" s="384">
        <v>0.01</v>
      </c>
      <c r="Z10" s="384">
        <v>0.01</v>
      </c>
      <c r="AA10" s="384">
        <v>0.01</v>
      </c>
      <c r="AB10" s="384">
        <v>0.01</v>
      </c>
      <c r="AC10" s="384">
        <v>0.01</v>
      </c>
      <c r="AD10" s="384">
        <v>0.01</v>
      </c>
      <c r="AE10" s="384">
        <v>0.01</v>
      </c>
      <c r="AF10" s="384">
        <v>0.01</v>
      </c>
    </row>
    <row r="11" spans="1:32" ht="14.25" customHeight="1">
      <c r="A11" s="48">
        <v>46174</v>
      </c>
      <c r="B11" s="385">
        <v>0</v>
      </c>
      <c r="C11" s="385">
        <v>0</v>
      </c>
      <c r="E11" s="48">
        <v>46174</v>
      </c>
      <c r="F11" s="385">
        <v>281291</v>
      </c>
      <c r="G11" s="385">
        <v>210170</v>
      </c>
      <c r="I11" s="48">
        <v>46174</v>
      </c>
      <c r="J11" s="385">
        <v>0</v>
      </c>
      <c r="K11" s="385">
        <v>0</v>
      </c>
      <c r="M11" s="48">
        <v>46174</v>
      </c>
      <c r="N11" s="385">
        <v>0</v>
      </c>
      <c r="O11" s="385">
        <v>344374</v>
      </c>
      <c r="T11" s="40">
        <v>46174</v>
      </c>
      <c r="U11" s="384">
        <v>0.01</v>
      </c>
      <c r="V11" s="384">
        <v>0.01</v>
      </c>
      <c r="W11" s="384">
        <v>0.01</v>
      </c>
      <c r="X11" s="384">
        <v>0.01</v>
      </c>
      <c r="Y11" s="384">
        <v>0.01</v>
      </c>
      <c r="Z11" s="384">
        <v>0.01</v>
      </c>
      <c r="AA11" s="384">
        <v>0.01</v>
      </c>
      <c r="AB11" s="384">
        <v>0.01</v>
      </c>
      <c r="AC11" s="384">
        <v>0.01</v>
      </c>
      <c r="AD11" s="384">
        <v>0.01</v>
      </c>
      <c r="AE11" s="384">
        <v>0.01</v>
      </c>
      <c r="AF11" s="384">
        <v>0.01</v>
      </c>
    </row>
    <row r="12" spans="1:32" ht="14.25" customHeight="1">
      <c r="A12" s="386">
        <v>46204</v>
      </c>
      <c r="B12" s="384"/>
      <c r="C12" s="384"/>
      <c r="D12" s="23"/>
      <c r="E12" s="386">
        <v>46204</v>
      </c>
      <c r="F12" s="384"/>
      <c r="G12" s="384"/>
      <c r="I12" s="386">
        <v>46204</v>
      </c>
      <c r="J12" s="384"/>
      <c r="K12" s="384"/>
      <c r="M12" s="386">
        <v>46204</v>
      </c>
      <c r="N12" s="384"/>
      <c r="O12" s="384"/>
      <c r="T12" s="386">
        <v>46204</v>
      </c>
      <c r="U12" s="384">
        <v>0.01</v>
      </c>
      <c r="V12" s="384">
        <v>0.01</v>
      </c>
      <c r="W12" s="55">
        <v>0.01</v>
      </c>
      <c r="X12" s="384">
        <v>0.01</v>
      </c>
      <c r="Y12" s="384">
        <v>0.01</v>
      </c>
      <c r="Z12" s="384">
        <v>0.01</v>
      </c>
      <c r="AA12" s="384">
        <v>0.01</v>
      </c>
      <c r="AB12" s="384">
        <v>0.01</v>
      </c>
      <c r="AC12" s="384">
        <v>0.01</v>
      </c>
      <c r="AD12" s="384">
        <v>0.01</v>
      </c>
      <c r="AE12" s="384">
        <v>0.01</v>
      </c>
      <c r="AF12" s="384">
        <v>0.01</v>
      </c>
    </row>
    <row r="13" spans="1:32" ht="14.25" customHeight="1">
      <c r="A13" s="386">
        <v>46235</v>
      </c>
      <c r="B13" s="384"/>
      <c r="C13" s="384"/>
      <c r="D13" s="23"/>
      <c r="E13" s="386">
        <v>46235</v>
      </c>
      <c r="F13" s="384"/>
      <c r="G13" s="384"/>
      <c r="I13" s="386">
        <v>46235</v>
      </c>
      <c r="J13" s="384"/>
      <c r="K13" s="384"/>
      <c r="M13" s="386">
        <v>46235</v>
      </c>
      <c r="N13" s="384"/>
      <c r="O13" s="384"/>
      <c r="T13" s="386">
        <v>46235</v>
      </c>
      <c r="U13" s="384">
        <v>0.01</v>
      </c>
      <c r="V13" s="384">
        <v>0.01</v>
      </c>
      <c r="W13" s="55">
        <v>0.01</v>
      </c>
      <c r="X13" s="384">
        <v>0.01</v>
      </c>
      <c r="Y13" s="384">
        <v>0.01</v>
      </c>
      <c r="Z13" s="384">
        <v>0.01</v>
      </c>
      <c r="AA13" s="384">
        <v>0.01</v>
      </c>
      <c r="AB13" s="384">
        <v>0.01</v>
      </c>
      <c r="AC13" s="384">
        <v>0.01</v>
      </c>
      <c r="AD13" s="384">
        <v>0.01</v>
      </c>
      <c r="AE13" s="384">
        <v>0.01</v>
      </c>
      <c r="AF13" s="384">
        <v>0.01</v>
      </c>
    </row>
    <row r="14" spans="1:32" ht="14.25" customHeight="1">
      <c r="A14" s="386">
        <v>46266</v>
      </c>
      <c r="B14" s="384"/>
      <c r="C14" s="384"/>
      <c r="D14" s="23"/>
      <c r="E14" s="386">
        <v>46266</v>
      </c>
      <c r="F14" s="384"/>
      <c r="G14" s="384"/>
      <c r="I14" s="386">
        <v>46266</v>
      </c>
      <c r="J14" s="384"/>
      <c r="K14" s="384"/>
      <c r="M14" s="386">
        <v>46266</v>
      </c>
      <c r="N14" s="384"/>
      <c r="O14" s="384"/>
      <c r="T14" s="386">
        <v>46266</v>
      </c>
      <c r="U14" s="384">
        <v>0.01</v>
      </c>
      <c r="V14" s="384">
        <v>0.01</v>
      </c>
      <c r="W14" s="55">
        <v>0.01</v>
      </c>
      <c r="X14" s="384">
        <v>0.01</v>
      </c>
      <c r="Y14" s="384">
        <v>0.01</v>
      </c>
      <c r="Z14" s="384">
        <v>0.01</v>
      </c>
      <c r="AA14" s="384">
        <v>0.01</v>
      </c>
      <c r="AB14" s="384">
        <v>0.01</v>
      </c>
      <c r="AC14" s="384">
        <v>0.01</v>
      </c>
      <c r="AD14" s="384">
        <v>0.01</v>
      </c>
      <c r="AE14" s="384">
        <v>0.01</v>
      </c>
      <c r="AF14" s="384">
        <v>0.01</v>
      </c>
    </row>
    <row r="15" spans="1:32" ht="14.25" customHeight="1">
      <c r="A15" s="386">
        <v>46296</v>
      </c>
      <c r="B15" s="384"/>
      <c r="C15" s="384"/>
      <c r="D15" s="23"/>
      <c r="E15" s="386">
        <v>46296</v>
      </c>
      <c r="F15" s="384"/>
      <c r="G15" s="384"/>
      <c r="I15" s="386">
        <v>46296</v>
      </c>
      <c r="J15" s="384"/>
      <c r="K15" s="384"/>
      <c r="M15" s="386">
        <v>46296</v>
      </c>
      <c r="N15" s="384"/>
      <c r="O15" s="384"/>
      <c r="T15" s="386">
        <v>46296</v>
      </c>
      <c r="U15" s="384">
        <v>0.01</v>
      </c>
      <c r="V15" s="384">
        <v>0.01</v>
      </c>
      <c r="W15" s="55">
        <v>0.01</v>
      </c>
      <c r="X15" s="384">
        <v>0.01</v>
      </c>
      <c r="Y15" s="384">
        <v>0.01</v>
      </c>
      <c r="Z15" s="384">
        <v>0.01</v>
      </c>
      <c r="AA15" s="384">
        <v>0.01</v>
      </c>
      <c r="AB15" s="384">
        <v>0.01</v>
      </c>
      <c r="AC15" s="384">
        <v>0.01</v>
      </c>
      <c r="AD15" s="384">
        <v>0.01</v>
      </c>
      <c r="AE15" s="384">
        <v>0.01</v>
      </c>
      <c r="AF15" s="384">
        <v>0.01</v>
      </c>
    </row>
    <row r="16" spans="1:32" ht="14.25" customHeight="1">
      <c r="A16" s="40">
        <v>46327</v>
      </c>
      <c r="B16" s="384"/>
      <c r="C16" s="384"/>
      <c r="E16" s="40">
        <v>46327</v>
      </c>
      <c r="F16" s="384"/>
      <c r="G16" s="384"/>
      <c r="I16" s="40">
        <v>46327</v>
      </c>
      <c r="J16" s="384"/>
      <c r="K16" s="384"/>
      <c r="M16" s="40">
        <v>46327</v>
      </c>
      <c r="N16" s="384"/>
      <c r="O16" s="384"/>
      <c r="T16" s="40">
        <v>46327</v>
      </c>
      <c r="U16" s="384">
        <v>0.01</v>
      </c>
      <c r="V16" s="384">
        <v>0.01</v>
      </c>
      <c r="W16" s="55">
        <v>0.01</v>
      </c>
      <c r="X16" s="384">
        <v>0.01</v>
      </c>
      <c r="Y16" s="384">
        <v>0.01</v>
      </c>
      <c r="Z16" s="384">
        <v>0.01</v>
      </c>
      <c r="AA16" s="384">
        <v>0.01</v>
      </c>
      <c r="AB16" s="384">
        <v>0.01</v>
      </c>
      <c r="AC16" s="384">
        <v>0.01</v>
      </c>
      <c r="AD16" s="384">
        <v>0.01</v>
      </c>
      <c r="AE16" s="384">
        <v>0.01</v>
      </c>
      <c r="AF16" s="384">
        <v>0.01</v>
      </c>
    </row>
    <row r="17" spans="1:32" ht="11.25" customHeight="1">
      <c r="A17" s="40">
        <v>46357</v>
      </c>
      <c r="B17" s="384"/>
      <c r="C17" s="384"/>
      <c r="E17" s="40">
        <v>46357</v>
      </c>
      <c r="F17" s="384"/>
      <c r="G17" s="384"/>
      <c r="I17" s="40">
        <v>46357</v>
      </c>
      <c r="J17" s="384"/>
      <c r="K17" s="384"/>
      <c r="M17" s="40">
        <v>46357</v>
      </c>
      <c r="N17" s="384"/>
      <c r="O17" s="384"/>
      <c r="T17" s="40">
        <v>46357</v>
      </c>
      <c r="U17" s="384">
        <v>0.01</v>
      </c>
      <c r="V17" s="384">
        <v>0.01</v>
      </c>
      <c r="W17" s="55">
        <v>0.01</v>
      </c>
      <c r="X17" s="384">
        <v>0.01</v>
      </c>
      <c r="Y17" s="384">
        <v>0.01</v>
      </c>
      <c r="Z17" s="384">
        <v>0.01</v>
      </c>
      <c r="AA17" s="384">
        <v>0.01</v>
      </c>
      <c r="AB17" s="384">
        <v>0.01</v>
      </c>
      <c r="AC17" s="384">
        <v>0.01</v>
      </c>
      <c r="AD17" s="384">
        <v>0.01</v>
      </c>
      <c r="AE17" s="384">
        <v>0.01</v>
      </c>
      <c r="AF17" s="384">
        <v>0.01</v>
      </c>
    </row>
    <row r="18" spans="1:32" ht="28.5" customHeight="1">
      <c r="A18" s="387" t="s">
        <v>20</v>
      </c>
      <c r="B18" s="388">
        <f>SUM(B6:B17)</f>
        <v>0</v>
      </c>
      <c r="C18" s="388">
        <f>SUM(C6:C17)</f>
        <v>0</v>
      </c>
      <c r="E18" s="387" t="s">
        <v>20</v>
      </c>
      <c r="F18" s="388">
        <f>SUM(F6:F17)</f>
        <v>281291</v>
      </c>
      <c r="G18" s="388">
        <f>SUM(G6:G17)</f>
        <v>210170</v>
      </c>
      <c r="I18" s="380" t="s">
        <v>20</v>
      </c>
      <c r="J18" s="389">
        <f>SUM(J6:J17)</f>
        <v>0</v>
      </c>
      <c r="K18" s="389">
        <f>SUM(K6:K17)</f>
        <v>0</v>
      </c>
      <c r="M18" s="380" t="s">
        <v>20</v>
      </c>
      <c r="N18" s="390">
        <f>SUM(N6:N17)</f>
        <v>0</v>
      </c>
      <c r="O18" s="390">
        <f>SUM(O6:O17)</f>
        <v>344374</v>
      </c>
      <c r="T18" s="391" t="s">
        <v>294</v>
      </c>
      <c r="U18" s="392">
        <f>AVERAGE(U6:U17)</f>
        <v>9.9999999999999985E-3</v>
      </c>
      <c r="V18" s="392">
        <f>AVERAGE(V6:V17)</f>
        <v>9.9999999999999985E-3</v>
      </c>
      <c r="W18" s="392">
        <f>AVERAGE(W6:W17)</f>
        <v>9.9999999999999985E-3</v>
      </c>
      <c r="X18" s="392">
        <f>AVERAGE(X6:X17)</f>
        <v>9.9999999999999985E-3</v>
      </c>
      <c r="Y18" s="392">
        <f>AVERAGE(Y6:Y17)</f>
        <v>9.9999999999999985E-3</v>
      </c>
      <c r="Z18" s="392">
        <f>AVERAGE(Z6:Z17)</f>
        <v>9.9999999999999985E-3</v>
      </c>
      <c r="AA18" s="392">
        <f>AVERAGE(AA6:AA17)</f>
        <v>9.9999999999999985E-3</v>
      </c>
      <c r="AB18" s="392">
        <f>AVERAGE(AB6:AB17)</f>
        <v>9.9999999999999985E-3</v>
      </c>
      <c r="AC18" s="392">
        <f>AVERAGE(AC6:AC17)</f>
        <v>9.9999999999999985E-3</v>
      </c>
      <c r="AD18" s="392">
        <f>AVERAGE(AD6:AD17)</f>
        <v>9.9999999999999985E-3</v>
      </c>
      <c r="AE18" s="392">
        <f>AVERAGE(AE6:AE17)</f>
        <v>9.9999999999999985E-3</v>
      </c>
      <c r="AF18" s="392">
        <f>AVERAGE(AF6:AF17)</f>
        <v>9.9999999999999985E-3</v>
      </c>
    </row>
    <row r="19" spans="1:32" ht="14.25" customHeight="1">
      <c r="A19" s="393" t="s">
        <v>295</v>
      </c>
      <c r="B19" s="394">
        <f>B18</f>
        <v>0</v>
      </c>
      <c r="C19" s="394">
        <f>C18</f>
        <v>0</v>
      </c>
      <c r="E19" s="393" t="s">
        <v>295</v>
      </c>
      <c r="F19" s="394">
        <f>F18</f>
        <v>281291</v>
      </c>
      <c r="G19" s="394">
        <f>G18</f>
        <v>210170</v>
      </c>
      <c r="I19" s="393" t="s">
        <v>295</v>
      </c>
      <c r="J19" s="394">
        <f>J18</f>
        <v>0</v>
      </c>
      <c r="K19" s="394">
        <f>K18</f>
        <v>0</v>
      </c>
      <c r="M19" s="393" t="s">
        <v>295</v>
      </c>
      <c r="N19" s="394">
        <f>N18</f>
        <v>0</v>
      </c>
      <c r="O19" s="394">
        <f>O18</f>
        <v>344374</v>
      </c>
    </row>
    <row r="20" spans="1:32" ht="14.25" customHeight="1">
      <c r="F20" s="395">
        <f>SUM(F12:F17)*42</f>
        <v>0</v>
      </c>
      <c r="G20" s="395">
        <f>SUM(G12:G17)*42</f>
        <v>0</v>
      </c>
      <c r="H20" s="395"/>
      <c r="I20" s="395"/>
      <c r="J20" s="395">
        <f>SUM(J12:J17)*42</f>
        <v>0</v>
      </c>
      <c r="K20" s="395">
        <f>SUM(K12:K17)*42</f>
        <v>0</v>
      </c>
    </row>
    <row r="21" spans="1:32" ht="14.25" customHeight="1">
      <c r="A21" s="595" t="s">
        <v>296</v>
      </c>
      <c r="B21" s="595"/>
      <c r="C21" s="595"/>
      <c r="D21" s="595"/>
      <c r="E21" s="595"/>
      <c r="G21" s="596" t="s">
        <v>297</v>
      </c>
      <c r="H21" s="596"/>
      <c r="I21" s="596"/>
      <c r="J21" s="596"/>
      <c r="K21" s="596"/>
      <c r="L21" s="596"/>
    </row>
    <row r="22" spans="1:32" ht="14.25" customHeight="1">
      <c r="A22" s="595" t="s">
        <v>240</v>
      </c>
      <c r="B22" s="595"/>
      <c r="C22" s="595"/>
      <c r="D22" s="595"/>
      <c r="E22" s="595"/>
      <c r="G22" s="597" t="s">
        <v>59</v>
      </c>
      <c r="H22" s="595" t="s">
        <v>240</v>
      </c>
      <c r="I22" s="595"/>
      <c r="J22" s="595"/>
      <c r="K22" s="598" t="s">
        <v>57</v>
      </c>
      <c r="L22" s="598"/>
    </row>
    <row r="23" spans="1:32" ht="14.25" customHeight="1">
      <c r="A23" s="558" t="s">
        <v>59</v>
      </c>
      <c r="B23" s="396" t="s">
        <v>290</v>
      </c>
      <c r="C23" s="396" t="s">
        <v>291</v>
      </c>
      <c r="D23" s="396" t="s">
        <v>292</v>
      </c>
      <c r="E23" s="396" t="s">
        <v>293</v>
      </c>
      <c r="G23" s="597"/>
      <c r="H23" s="397" t="s">
        <v>298</v>
      </c>
      <c r="I23" s="380" t="s">
        <v>299</v>
      </c>
      <c r="J23" s="398" t="s">
        <v>300</v>
      </c>
      <c r="K23" s="399" t="s">
        <v>299</v>
      </c>
      <c r="L23" s="400" t="s">
        <v>300</v>
      </c>
    </row>
    <row r="24" spans="1:32" ht="14.25" customHeight="1">
      <c r="A24" s="32">
        <v>46023</v>
      </c>
      <c r="B24" s="384"/>
      <c r="C24" s="384"/>
      <c r="D24" s="384"/>
      <c r="E24" s="384"/>
      <c r="G24" s="32">
        <v>46023</v>
      </c>
      <c r="H24" s="277"/>
      <c r="I24" s="384"/>
      <c r="J24" s="384"/>
      <c r="K24" s="384">
        <v>0.01</v>
      </c>
      <c r="L24" s="384">
        <v>0.01</v>
      </c>
    </row>
    <row r="25" spans="1:32" ht="14.25" customHeight="1">
      <c r="A25" s="40">
        <v>46054</v>
      </c>
      <c r="B25" s="384"/>
      <c r="C25" s="384"/>
      <c r="D25" s="384"/>
      <c r="E25" s="384"/>
      <c r="G25" s="40">
        <v>46054</v>
      </c>
      <c r="H25" s="277"/>
      <c r="I25" s="384"/>
      <c r="J25" s="384"/>
      <c r="K25" s="384">
        <v>0.01</v>
      </c>
      <c r="L25" s="384">
        <v>0.01</v>
      </c>
    </row>
    <row r="26" spans="1:32" ht="14.25" customHeight="1">
      <c r="A26" s="40">
        <v>46082</v>
      </c>
      <c r="B26" s="384"/>
      <c r="C26" s="384"/>
      <c r="D26" s="384"/>
      <c r="E26" s="384"/>
      <c r="G26" s="40">
        <v>46082</v>
      </c>
      <c r="H26" s="277"/>
      <c r="I26" s="384"/>
      <c r="J26" s="384"/>
      <c r="K26" s="384">
        <v>0.01</v>
      </c>
      <c r="L26" s="384">
        <v>0.01</v>
      </c>
    </row>
    <row r="27" spans="1:32" ht="14.25" customHeight="1">
      <c r="A27" s="40">
        <v>46113</v>
      </c>
      <c r="B27" s="384"/>
      <c r="C27" s="384"/>
      <c r="D27" s="384"/>
      <c r="E27" s="384"/>
      <c r="G27" s="40">
        <v>46113</v>
      </c>
      <c r="H27" s="277"/>
      <c r="I27" s="384"/>
      <c r="J27" s="384"/>
      <c r="K27" s="384">
        <v>0.01</v>
      </c>
      <c r="L27" s="384">
        <v>0.01</v>
      </c>
    </row>
    <row r="28" spans="1:32" ht="14.25" customHeight="1">
      <c r="A28" s="40">
        <v>46143</v>
      </c>
      <c r="B28" s="384"/>
      <c r="C28" s="384"/>
      <c r="D28" s="384"/>
      <c r="E28" s="384"/>
      <c r="G28" s="40">
        <v>46143</v>
      </c>
      <c r="H28" s="277"/>
      <c r="I28" s="384"/>
      <c r="J28" s="384"/>
      <c r="K28" s="384">
        <v>0.01</v>
      </c>
      <c r="L28" s="384">
        <v>0.01</v>
      </c>
    </row>
    <row r="29" spans="1:32" ht="14.25" customHeight="1">
      <c r="A29" s="48">
        <v>46174</v>
      </c>
      <c r="B29" s="385">
        <v>1707</v>
      </c>
      <c r="C29" s="385">
        <v>281873</v>
      </c>
      <c r="D29" s="385">
        <v>705278</v>
      </c>
      <c r="E29" s="385">
        <v>118998</v>
      </c>
      <c r="G29" s="48">
        <v>46174</v>
      </c>
      <c r="H29" s="54">
        <v>0</v>
      </c>
      <c r="I29" s="385">
        <v>263982</v>
      </c>
      <c r="J29" s="385">
        <v>1011286</v>
      </c>
      <c r="K29" s="385">
        <v>1E-3</v>
      </c>
      <c r="L29" s="385">
        <v>1E-3</v>
      </c>
    </row>
    <row r="30" spans="1:32" ht="14.25" customHeight="1">
      <c r="A30" s="386">
        <v>46204</v>
      </c>
      <c r="B30" s="384"/>
      <c r="C30" s="384"/>
      <c r="D30" s="384"/>
      <c r="E30" s="384"/>
      <c r="G30" s="386">
        <v>46204</v>
      </c>
      <c r="H30" s="277"/>
      <c r="I30" s="384"/>
      <c r="J30" s="384"/>
      <c r="K30" s="384">
        <v>0.01</v>
      </c>
      <c r="L30" s="384">
        <v>0.01</v>
      </c>
    </row>
    <row r="31" spans="1:32" ht="14.25" customHeight="1">
      <c r="A31" s="386">
        <v>46235</v>
      </c>
      <c r="B31" s="384"/>
      <c r="C31" s="384"/>
      <c r="D31" s="384"/>
      <c r="E31" s="384"/>
      <c r="G31" s="386">
        <v>46235</v>
      </c>
      <c r="H31" s="277"/>
      <c r="I31" s="384"/>
      <c r="J31" s="384"/>
      <c r="K31" s="384">
        <v>0.01</v>
      </c>
      <c r="L31" s="384">
        <v>0.01</v>
      </c>
    </row>
    <row r="32" spans="1:32" ht="14.25" customHeight="1">
      <c r="A32" s="386">
        <v>46266</v>
      </c>
      <c r="B32" s="384"/>
      <c r="C32" s="384"/>
      <c r="D32" s="384"/>
      <c r="E32" s="384"/>
      <c r="G32" s="386">
        <v>46266</v>
      </c>
      <c r="H32" s="277"/>
      <c r="I32" s="384"/>
      <c r="J32" s="384"/>
      <c r="K32" s="384">
        <v>0.01</v>
      </c>
      <c r="L32" s="384">
        <v>0.01</v>
      </c>
    </row>
    <row r="33" spans="1:14" ht="14.25" customHeight="1">
      <c r="A33" s="386">
        <v>46296</v>
      </c>
      <c r="B33" s="384"/>
      <c r="C33" s="384"/>
      <c r="D33" s="384"/>
      <c r="E33" s="384"/>
      <c r="G33" s="386">
        <v>46296</v>
      </c>
      <c r="H33" s="277"/>
      <c r="I33" s="384"/>
      <c r="J33" s="384"/>
      <c r="K33" s="384">
        <v>0.01</v>
      </c>
      <c r="L33" s="384">
        <v>0.01</v>
      </c>
    </row>
    <row r="34" spans="1:14" ht="14.25" customHeight="1">
      <c r="A34" s="40">
        <v>46327</v>
      </c>
      <c r="B34" s="384"/>
      <c r="C34" s="384"/>
      <c r="D34" s="384"/>
      <c r="E34" s="384"/>
      <c r="G34" s="40">
        <v>46327</v>
      </c>
      <c r="H34" s="277"/>
      <c r="I34" s="384"/>
      <c r="J34" s="384"/>
      <c r="K34" s="384">
        <v>0.01</v>
      </c>
      <c r="L34" s="384">
        <v>0.01</v>
      </c>
    </row>
    <row r="35" spans="1:14" ht="14.25" customHeight="1">
      <c r="A35" s="40">
        <v>46357</v>
      </c>
      <c r="B35" s="384"/>
      <c r="C35" s="384"/>
      <c r="D35" s="384"/>
      <c r="E35" s="384"/>
      <c r="G35" s="40">
        <v>46357</v>
      </c>
      <c r="H35" s="277"/>
      <c r="I35" s="384"/>
      <c r="J35" s="384"/>
      <c r="K35" s="401">
        <v>0.01</v>
      </c>
      <c r="L35" s="401">
        <v>0.01</v>
      </c>
    </row>
    <row r="36" spans="1:14" ht="14.25" customHeight="1">
      <c r="A36" s="379" t="s">
        <v>20</v>
      </c>
      <c r="B36" s="402">
        <f>SUM(B24:B35)</f>
        <v>1707</v>
      </c>
      <c r="C36" s="402">
        <f>SUM(C24:C35)</f>
        <v>281873</v>
      </c>
      <c r="D36" s="402">
        <f>SUM(D24:D35)</f>
        <v>705278</v>
      </c>
      <c r="E36" s="402">
        <f>SUM(E24:E35)</f>
        <v>118998</v>
      </c>
      <c r="G36" s="559" t="s">
        <v>20</v>
      </c>
      <c r="H36" s="403">
        <f>SUM(H30:H35)</f>
        <v>0</v>
      </c>
      <c r="I36" s="403">
        <f>SUM(I24:I35)</f>
        <v>263982</v>
      </c>
      <c r="J36" s="403">
        <f>SUM(J24:J35)</f>
        <v>1011286</v>
      </c>
      <c r="K36" s="404">
        <f>AVERAGE(K24:K35)</f>
        <v>9.2499999999999995E-3</v>
      </c>
      <c r="L36" s="404">
        <f>AVERAGE(L24:L35)</f>
        <v>9.2499999999999995E-3</v>
      </c>
      <c r="N36" s="377" t="s">
        <v>301</v>
      </c>
    </row>
    <row r="37" spans="1:14" ht="14.25" customHeight="1">
      <c r="A37" s="393" t="s">
        <v>295</v>
      </c>
      <c r="B37" s="394">
        <f>B36</f>
        <v>1707</v>
      </c>
      <c r="C37" s="394">
        <f>C36</f>
        <v>281873</v>
      </c>
      <c r="D37" s="394">
        <f>D36</f>
        <v>705278</v>
      </c>
      <c r="E37" s="394">
        <f>E36</f>
        <v>118998</v>
      </c>
      <c r="G37" s="382" t="s">
        <v>295</v>
      </c>
      <c r="H37" s="394">
        <f>H36</f>
        <v>0</v>
      </c>
      <c r="I37" s="394">
        <f>I36</f>
        <v>263982</v>
      </c>
      <c r="J37" s="394">
        <f>J36</f>
        <v>1011286</v>
      </c>
      <c r="K37" s="405"/>
      <c r="L37" s="405"/>
    </row>
  </sheetData>
  <mergeCells count="14">
    <mergeCell ref="A3:C3"/>
    <mergeCell ref="E3:G3"/>
    <mergeCell ref="I3:K3"/>
    <mergeCell ref="M3:O3"/>
    <mergeCell ref="A4:C4"/>
    <mergeCell ref="E4:G4"/>
    <mergeCell ref="I4:K4"/>
    <mergeCell ref="M4:O4"/>
    <mergeCell ref="A21:E21"/>
    <mergeCell ref="G21:L21"/>
    <mergeCell ref="A22:E22"/>
    <mergeCell ref="G22:G23"/>
    <mergeCell ref="H22:J22"/>
    <mergeCell ref="K22:L22"/>
  </mergeCells>
  <pageMargins left="0.7" right="0.7" top="0.75" bottom="0.75" header="0.511811023622047" footer="0.511811023622047"/>
  <pageSetup paperSize="9" orientation="portrait" horizontalDpi="300" verticalDpi="30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2:AD66"/>
  <sheetViews>
    <sheetView zoomScaleNormal="100" workbookViewId="0"/>
  </sheetViews>
  <sheetFormatPr defaultColWidth="8.7109375" defaultRowHeight="15"/>
  <cols>
    <col min="1" max="1" width="17.28515625" customWidth="1"/>
    <col min="2" max="2" width="17.85546875" customWidth="1"/>
    <col min="3" max="3" width="9.42578125" customWidth="1"/>
    <col min="4" max="4" width="10.85546875" customWidth="1"/>
    <col min="5" max="5" width="16.85546875" customWidth="1"/>
    <col min="6" max="6" width="10.140625" customWidth="1"/>
    <col min="7" max="7" width="7.7109375" customWidth="1"/>
    <col min="9" max="9" width="8.140625" customWidth="1"/>
    <col min="10" max="10" width="7" customWidth="1"/>
    <col min="11" max="11" width="7.42578125" customWidth="1"/>
    <col min="12" max="12" width="17.5703125" customWidth="1"/>
    <col min="13" max="13" width="15.140625" customWidth="1"/>
    <col min="14" max="14" width="9" customWidth="1"/>
    <col min="16" max="16" width="8.28515625" customWidth="1"/>
    <col min="27" max="27" width="12.42578125" customWidth="1"/>
    <col min="28" max="30" width="13.28515625" customWidth="1"/>
  </cols>
  <sheetData>
    <row r="2" spans="1:30" ht="14.25" customHeight="1">
      <c r="A2" s="578" t="s">
        <v>302</v>
      </c>
      <c r="B2" s="578"/>
      <c r="C2" s="578"/>
      <c r="D2" s="578"/>
      <c r="E2" s="578"/>
      <c r="F2" s="578"/>
      <c r="G2" s="578"/>
      <c r="H2" s="578"/>
      <c r="I2" s="578"/>
      <c r="J2" s="578"/>
      <c r="K2" s="578"/>
      <c r="L2" s="578" t="s">
        <v>303</v>
      </c>
      <c r="M2" s="578"/>
      <c r="N2" s="578"/>
      <c r="O2" s="578"/>
      <c r="P2" s="578"/>
      <c r="Q2" s="578"/>
      <c r="R2" s="578"/>
      <c r="S2" s="578"/>
      <c r="T2" s="578"/>
      <c r="U2" s="578"/>
      <c r="V2" s="578"/>
      <c r="AA2" s="406" t="s">
        <v>304</v>
      </c>
    </row>
    <row r="3" spans="1:30" ht="14.25" customHeight="1">
      <c r="AB3" s="407" t="s">
        <v>305</v>
      </c>
      <c r="AC3" s="407" t="s">
        <v>306</v>
      </c>
      <c r="AD3" s="407" t="s">
        <v>307</v>
      </c>
    </row>
    <row r="4" spans="1:30" ht="14.25" customHeight="1">
      <c r="A4" s="408" t="s">
        <v>308</v>
      </c>
      <c r="B4" s="125"/>
      <c r="C4" s="125"/>
      <c r="D4" s="125"/>
      <c r="E4" s="125"/>
      <c r="F4" s="125"/>
      <c r="G4" s="125"/>
      <c r="H4" s="125"/>
      <c r="I4" s="125"/>
      <c r="J4" s="125"/>
      <c r="K4" s="125"/>
      <c r="L4" s="408" t="s">
        <v>308</v>
      </c>
      <c r="M4" s="125"/>
      <c r="N4" s="125"/>
      <c r="O4" s="125"/>
      <c r="P4" s="125"/>
      <c r="Q4" s="125"/>
      <c r="R4" s="125"/>
      <c r="S4" s="125"/>
      <c r="T4" s="125"/>
      <c r="U4" s="125"/>
      <c r="V4" s="125"/>
      <c r="AA4" s="409">
        <v>45292</v>
      </c>
      <c r="AB4" s="410">
        <v>0</v>
      </c>
      <c r="AC4" s="411"/>
      <c r="AD4" s="412"/>
    </row>
    <row r="5" spans="1:30" ht="14.25" customHeight="1">
      <c r="A5" s="85" t="s">
        <v>309</v>
      </c>
      <c r="B5" s="125" t="s">
        <v>310</v>
      </c>
      <c r="C5" s="125"/>
      <c r="D5" s="125"/>
      <c r="E5" s="125"/>
      <c r="F5" s="125"/>
      <c r="G5" s="125"/>
      <c r="H5" s="125"/>
      <c r="I5" s="125"/>
      <c r="J5" s="125"/>
      <c r="K5" s="125"/>
      <c r="L5" s="85" t="s">
        <v>309</v>
      </c>
      <c r="M5" s="125" t="s">
        <v>310</v>
      </c>
      <c r="N5" s="125"/>
      <c r="O5" s="125"/>
      <c r="P5" s="125"/>
      <c r="Q5" s="125"/>
      <c r="R5" s="125"/>
      <c r="S5" s="125"/>
      <c r="T5" s="125"/>
      <c r="U5" s="125"/>
      <c r="V5" s="125"/>
      <c r="AA5" s="413">
        <v>45323</v>
      </c>
      <c r="AB5" s="414">
        <v>0</v>
      </c>
      <c r="AC5" s="415"/>
      <c r="AD5" s="416"/>
    </row>
    <row r="6" spans="1:30" ht="14.25" customHeight="1">
      <c r="A6" s="85" t="s">
        <v>311</v>
      </c>
      <c r="B6" s="125" t="s">
        <v>312</v>
      </c>
      <c r="C6" s="125"/>
      <c r="D6" s="125"/>
      <c r="E6" s="125"/>
      <c r="F6" s="125"/>
      <c r="G6" s="125"/>
      <c r="H6" s="125"/>
      <c r="I6" s="125"/>
      <c r="J6" s="125"/>
      <c r="K6" s="125"/>
      <c r="L6" s="85" t="s">
        <v>311</v>
      </c>
      <c r="M6" s="125" t="s">
        <v>312</v>
      </c>
      <c r="N6" s="125"/>
      <c r="O6" s="125"/>
      <c r="P6" s="125"/>
      <c r="Q6" s="125"/>
      <c r="R6" s="125"/>
      <c r="S6" s="125"/>
      <c r="T6" s="125"/>
      <c r="U6" s="125"/>
      <c r="V6" s="125"/>
      <c r="AA6" s="413">
        <v>45352</v>
      </c>
      <c r="AB6" s="414">
        <v>0</v>
      </c>
      <c r="AC6" s="415"/>
      <c r="AD6" s="416"/>
    </row>
    <row r="7" spans="1:30" ht="14.25" customHeight="1">
      <c r="A7" s="85" t="s">
        <v>14</v>
      </c>
      <c r="B7" s="226" t="s">
        <v>313</v>
      </c>
      <c r="C7" s="226"/>
      <c r="D7" s="226"/>
      <c r="E7" s="226"/>
      <c r="F7" s="226"/>
      <c r="G7" s="226"/>
      <c r="H7" s="226"/>
      <c r="I7" s="226"/>
      <c r="J7" s="226"/>
      <c r="K7" s="226"/>
      <c r="L7" s="85" t="s">
        <v>14</v>
      </c>
      <c r="M7" s="226" t="s">
        <v>313</v>
      </c>
      <c r="N7" s="226"/>
      <c r="O7" s="226"/>
      <c r="P7" s="226"/>
      <c r="Q7" s="226"/>
      <c r="R7" s="226"/>
      <c r="S7" s="226"/>
      <c r="T7" s="226"/>
      <c r="U7" s="226"/>
      <c r="V7" s="226"/>
      <c r="AA7" s="417">
        <v>45383</v>
      </c>
      <c r="AB7" s="418">
        <v>0</v>
      </c>
      <c r="AC7" s="419"/>
      <c r="AD7" s="420"/>
    </row>
    <row r="8" spans="1:30" ht="14.25" customHeight="1">
      <c r="A8" s="85" t="s">
        <v>314</v>
      </c>
      <c r="B8" s="125" t="s">
        <v>315</v>
      </c>
      <c r="C8" s="125"/>
      <c r="D8" s="125"/>
      <c r="E8" s="125"/>
      <c r="F8" s="125"/>
      <c r="G8" s="125"/>
      <c r="H8" s="125"/>
      <c r="I8" s="125"/>
      <c r="J8" s="125"/>
      <c r="K8" s="125"/>
      <c r="L8" s="85" t="s">
        <v>314</v>
      </c>
      <c r="M8" s="125" t="s">
        <v>315</v>
      </c>
      <c r="N8" s="125"/>
      <c r="O8" s="125"/>
      <c r="P8" s="125"/>
      <c r="Q8" s="125"/>
      <c r="R8" s="125"/>
      <c r="S8" s="125"/>
      <c r="T8" s="125"/>
      <c r="U8" s="125"/>
      <c r="V8" s="125"/>
      <c r="AA8" s="421">
        <v>45413</v>
      </c>
      <c r="AB8" s="422">
        <v>0</v>
      </c>
      <c r="AC8" s="423">
        <v>11</v>
      </c>
      <c r="AD8" s="424">
        <v>47</v>
      </c>
    </row>
    <row r="9" spans="1:30" ht="14.25" customHeight="1">
      <c r="A9" s="85" t="s">
        <v>15</v>
      </c>
      <c r="B9" s="226" t="s">
        <v>313</v>
      </c>
      <c r="C9" s="226"/>
      <c r="D9" s="226"/>
      <c r="E9" s="226"/>
      <c r="F9" s="226"/>
      <c r="G9" s="226"/>
      <c r="H9" s="226"/>
      <c r="I9" s="226"/>
      <c r="J9" s="226"/>
      <c r="K9" s="226"/>
      <c r="L9" s="85" t="s">
        <v>15</v>
      </c>
      <c r="M9" s="226" t="s">
        <v>313</v>
      </c>
      <c r="N9" s="226"/>
      <c r="O9" s="226"/>
      <c r="P9" s="226"/>
      <c r="Q9" s="226"/>
      <c r="R9" s="226"/>
      <c r="S9" s="226"/>
      <c r="T9" s="226"/>
      <c r="U9" s="226"/>
      <c r="V9" s="226"/>
      <c r="AA9" s="421">
        <v>45444</v>
      </c>
      <c r="AB9" s="414">
        <v>0</v>
      </c>
      <c r="AC9" s="415"/>
      <c r="AD9" s="416"/>
    </row>
    <row r="10" spans="1:30" ht="14.25" customHeight="1">
      <c r="A10" s="105" t="s">
        <v>316</v>
      </c>
      <c r="B10" s="125" t="s">
        <v>317</v>
      </c>
      <c r="C10" s="125"/>
      <c r="D10" s="125"/>
      <c r="E10" s="125"/>
      <c r="F10" s="125"/>
      <c r="G10" s="125"/>
      <c r="H10" s="125"/>
      <c r="I10" s="125"/>
      <c r="J10" s="125"/>
      <c r="K10" s="125"/>
      <c r="L10" s="105" t="s">
        <v>316</v>
      </c>
      <c r="M10" s="125" t="s">
        <v>317</v>
      </c>
      <c r="N10" s="125"/>
      <c r="O10" s="125"/>
      <c r="P10" s="125"/>
      <c r="Q10" s="125"/>
      <c r="R10" s="125"/>
      <c r="S10" s="125"/>
      <c r="T10" s="125"/>
      <c r="U10" s="125"/>
      <c r="V10" s="125"/>
      <c r="AA10" s="413">
        <v>45474</v>
      </c>
      <c r="AB10" s="414">
        <v>0</v>
      </c>
      <c r="AC10" s="415"/>
      <c r="AD10" s="416"/>
    </row>
    <row r="11" spans="1:30" ht="14.25" customHeight="1">
      <c r="A11" s="425"/>
      <c r="B11" s="170"/>
      <c r="C11" s="170"/>
      <c r="D11" s="170"/>
      <c r="E11" s="170"/>
      <c r="F11" s="170"/>
      <c r="G11" s="170"/>
      <c r="H11" s="170"/>
      <c r="I11" s="170"/>
      <c r="J11" s="170"/>
      <c r="K11" s="170"/>
      <c r="L11" s="425"/>
      <c r="M11" s="170"/>
      <c r="N11" s="170"/>
      <c r="O11" s="170"/>
      <c r="P11" s="170"/>
      <c r="Q11" s="170"/>
      <c r="R11" s="170"/>
      <c r="S11" s="170"/>
      <c r="T11" s="170"/>
      <c r="U11" s="170"/>
      <c r="V11" s="170"/>
      <c r="AA11" s="413">
        <v>45505</v>
      </c>
      <c r="AB11" s="414">
        <v>0</v>
      </c>
      <c r="AC11" s="415"/>
      <c r="AD11" s="416"/>
    </row>
    <row r="12" spans="1:30" ht="14.25" customHeight="1">
      <c r="AA12" s="413">
        <v>45536</v>
      </c>
      <c r="AB12" s="414">
        <v>0</v>
      </c>
      <c r="AC12" s="415"/>
      <c r="AD12" s="416"/>
    </row>
    <row r="13" spans="1:30" ht="14.25" customHeight="1">
      <c r="A13" s="85" t="s">
        <v>318</v>
      </c>
      <c r="B13" s="227">
        <f>SUM(Turbinas!I29)</f>
        <v>263982</v>
      </c>
      <c r="C13" s="85" t="s">
        <v>108</v>
      </c>
      <c r="D13" s="85"/>
      <c r="E13" s="85"/>
      <c r="F13" s="85"/>
      <c r="G13" s="85"/>
      <c r="H13" s="85"/>
      <c r="I13" s="85"/>
      <c r="J13" s="85"/>
      <c r="K13" s="85"/>
      <c r="L13" s="85" t="s">
        <v>318</v>
      </c>
      <c r="M13" s="227">
        <f>SUM(Turbinas!J29)</f>
        <v>1011286</v>
      </c>
      <c r="N13" s="85" t="s">
        <v>108</v>
      </c>
      <c r="O13" s="85"/>
      <c r="P13" s="85"/>
      <c r="Q13" s="85"/>
      <c r="R13" s="85"/>
      <c r="S13" s="85"/>
      <c r="T13" s="85"/>
      <c r="U13" s="85"/>
      <c r="V13" s="85"/>
      <c r="AA13" s="413">
        <v>45566</v>
      </c>
      <c r="AB13" s="414">
        <v>0</v>
      </c>
      <c r="AC13" s="415"/>
      <c r="AD13" s="416"/>
    </row>
    <row r="14" spans="1:30" ht="14.25" customHeight="1">
      <c r="A14" s="85" t="s">
        <v>84</v>
      </c>
      <c r="B14" s="426">
        <f>SUM(Turbinas!K36)</f>
        <v>9.2499999999999995E-3</v>
      </c>
      <c r="C14" s="85"/>
      <c r="D14" s="85"/>
      <c r="E14" s="85"/>
      <c r="F14" s="85"/>
      <c r="G14" s="85"/>
      <c r="H14" s="85"/>
      <c r="I14" s="85"/>
      <c r="J14" s="85"/>
      <c r="K14" s="85"/>
      <c r="L14" s="85" t="s">
        <v>84</v>
      </c>
      <c r="M14" s="426">
        <f>SUM(Turbinas!L36)</f>
        <v>9.2499999999999995E-3</v>
      </c>
      <c r="N14" s="85"/>
      <c r="O14" s="85"/>
      <c r="P14" s="85"/>
      <c r="Q14" s="85"/>
      <c r="R14" s="85"/>
      <c r="S14" s="85"/>
      <c r="T14" s="85"/>
      <c r="U14" s="85"/>
      <c r="V14" s="85"/>
      <c r="AA14" s="413">
        <v>45597</v>
      </c>
      <c r="AB14" s="414">
        <v>0</v>
      </c>
      <c r="AC14" s="415"/>
      <c r="AD14" s="416"/>
    </row>
    <row r="15" spans="1:30" ht="14.25" customHeight="1">
      <c r="A15" s="85" t="s">
        <v>319</v>
      </c>
      <c r="B15" s="427">
        <f>SUM(AC34)</f>
        <v>29</v>
      </c>
      <c r="C15" s="85" t="s">
        <v>320</v>
      </c>
      <c r="D15" s="85"/>
      <c r="E15" s="85"/>
      <c r="F15" s="85"/>
      <c r="G15" s="85"/>
      <c r="H15" s="85"/>
      <c r="I15" s="85"/>
      <c r="J15" s="85"/>
      <c r="K15" s="85"/>
      <c r="L15" s="85" t="s">
        <v>319</v>
      </c>
      <c r="M15" s="427">
        <f>SUM(AD34)</f>
        <v>114</v>
      </c>
      <c r="N15" s="85" t="s">
        <v>320</v>
      </c>
      <c r="O15" s="85"/>
      <c r="P15" s="85"/>
      <c r="Q15" s="85"/>
      <c r="R15" s="85"/>
      <c r="S15" s="85"/>
      <c r="T15" s="85"/>
      <c r="U15" s="85"/>
      <c r="V15" s="85"/>
      <c r="AA15" s="428">
        <v>45627</v>
      </c>
      <c r="AB15" s="429">
        <v>0</v>
      </c>
      <c r="AC15" s="430"/>
      <c r="AD15" s="431"/>
    </row>
    <row r="16" spans="1:30" ht="14.25" customHeight="1">
      <c r="A16" s="85" t="s">
        <v>321</v>
      </c>
      <c r="B16" s="427">
        <f>SUM(AC16)</f>
        <v>11</v>
      </c>
      <c r="C16" s="85" t="s">
        <v>320</v>
      </c>
      <c r="D16" s="85"/>
      <c r="E16" s="85"/>
      <c r="F16" s="85"/>
      <c r="G16" s="85"/>
      <c r="H16" s="85"/>
      <c r="I16" s="85"/>
      <c r="J16" s="85"/>
      <c r="K16" s="85"/>
      <c r="L16" s="85" t="s">
        <v>321</v>
      </c>
      <c r="M16" s="427">
        <f>SUM(AD16)</f>
        <v>47</v>
      </c>
      <c r="N16" s="85" t="s">
        <v>320</v>
      </c>
      <c r="O16" s="85"/>
      <c r="P16" s="85"/>
      <c r="Q16" s="85"/>
      <c r="R16" s="85"/>
      <c r="S16" s="85"/>
      <c r="T16" s="85"/>
      <c r="U16" s="85"/>
      <c r="V16" s="85"/>
      <c r="AA16" s="432" t="s">
        <v>71</v>
      </c>
      <c r="AB16" s="433">
        <f>SUM(AB10:AB15)</f>
        <v>0</v>
      </c>
      <c r="AC16" s="434">
        <f>SUM(AC4:AC15)</f>
        <v>11</v>
      </c>
      <c r="AD16" s="435">
        <f>SUM(AD4:AD15)</f>
        <v>47</v>
      </c>
    </row>
    <row r="17" spans="1:30" ht="14.25" customHeight="1">
      <c r="B17" s="85"/>
      <c r="C17" s="85"/>
      <c r="D17" s="85"/>
      <c r="E17" s="85"/>
      <c r="F17" s="85"/>
      <c r="G17" s="85"/>
      <c r="H17" s="85"/>
      <c r="I17" s="85"/>
      <c r="J17" s="85"/>
      <c r="K17" s="85"/>
      <c r="N17" s="85"/>
      <c r="O17" s="85"/>
      <c r="P17" s="85"/>
      <c r="Q17" s="85"/>
      <c r="R17" s="85"/>
      <c r="S17" s="85"/>
      <c r="T17" s="85"/>
      <c r="U17" s="85"/>
      <c r="V17" s="85"/>
    </row>
    <row r="19" spans="1:30" ht="14.25" customHeight="1">
      <c r="A19" s="125" t="s">
        <v>193</v>
      </c>
      <c r="B19" s="125"/>
      <c r="C19" s="85"/>
      <c r="D19" s="85"/>
      <c r="E19" s="85"/>
      <c r="F19" s="85"/>
      <c r="G19" s="85"/>
      <c r="H19" s="85"/>
      <c r="I19" s="85"/>
      <c r="J19" s="85"/>
      <c r="K19" s="85"/>
      <c r="L19" s="125" t="s">
        <v>193</v>
      </c>
      <c r="M19" s="125"/>
      <c r="N19" s="85"/>
      <c r="O19" s="85"/>
      <c r="P19" s="85"/>
      <c r="Q19" s="85"/>
      <c r="R19" s="85"/>
      <c r="S19" s="85"/>
      <c r="T19" s="85"/>
      <c r="U19" s="85"/>
      <c r="V19" s="85"/>
    </row>
    <row r="20" spans="1:30" ht="14.25" customHeight="1">
      <c r="AA20" s="406" t="s">
        <v>322</v>
      </c>
    </row>
    <row r="21" spans="1:30" ht="14.25" customHeight="1">
      <c r="A21" s="108" t="s">
        <v>86</v>
      </c>
      <c r="B21" s="349">
        <v>51</v>
      </c>
      <c r="C21" s="349" t="s">
        <v>87</v>
      </c>
      <c r="D21" s="361">
        <f>B15</f>
        <v>29</v>
      </c>
      <c r="E21" s="349" t="s">
        <v>323</v>
      </c>
      <c r="F21" s="349">
        <v>51</v>
      </c>
      <c r="G21" s="436" t="s">
        <v>87</v>
      </c>
      <c r="H21" s="437">
        <f>B16</f>
        <v>11</v>
      </c>
      <c r="I21" s="362" t="s">
        <v>324</v>
      </c>
      <c r="J21" s="349">
        <v>1</v>
      </c>
      <c r="K21" s="349" t="s">
        <v>90</v>
      </c>
      <c r="L21" s="108" t="s">
        <v>86</v>
      </c>
      <c r="M21" s="349">
        <v>51</v>
      </c>
      <c r="N21" s="349" t="s">
        <v>87</v>
      </c>
      <c r="O21" s="361">
        <f>M15</f>
        <v>114</v>
      </c>
      <c r="P21" s="349" t="s">
        <v>323</v>
      </c>
      <c r="Q21" s="349">
        <v>51</v>
      </c>
      <c r="R21" s="436" t="s">
        <v>87</v>
      </c>
      <c r="S21" s="437">
        <f>M16</f>
        <v>47</v>
      </c>
      <c r="T21" s="362" t="s">
        <v>324</v>
      </c>
      <c r="U21" s="349">
        <v>1</v>
      </c>
      <c r="V21" s="349" t="s">
        <v>90</v>
      </c>
      <c r="AB21" s="407" t="s">
        <v>305</v>
      </c>
      <c r="AC21" s="407" t="s">
        <v>306</v>
      </c>
      <c r="AD21" s="407" t="s">
        <v>307</v>
      </c>
    </row>
    <row r="22" spans="1:30" ht="14.25" customHeight="1">
      <c r="A22" s="85"/>
      <c r="B22" s="125"/>
      <c r="C22" s="233" t="s">
        <v>92</v>
      </c>
      <c r="D22" s="593"/>
      <c r="E22" s="593"/>
      <c r="F22" s="438"/>
      <c r="G22" s="233" t="s">
        <v>92</v>
      </c>
      <c r="H22" s="235"/>
      <c r="I22" s="364"/>
      <c r="J22" s="85">
        <v>2000</v>
      </c>
      <c r="K22" s="85" t="s">
        <v>87</v>
      </c>
      <c r="L22" s="85"/>
      <c r="M22" s="125"/>
      <c r="N22" s="233" t="s">
        <v>92</v>
      </c>
      <c r="O22" s="593"/>
      <c r="P22" s="593"/>
      <c r="Q22" s="438"/>
      <c r="R22" s="233" t="s">
        <v>92</v>
      </c>
      <c r="S22" s="235"/>
      <c r="T22" s="364"/>
      <c r="U22" s="85">
        <v>2000</v>
      </c>
      <c r="V22" s="85" t="s">
        <v>87</v>
      </c>
      <c r="AA22" s="409">
        <v>45292</v>
      </c>
      <c r="AB22" s="410">
        <v>0</v>
      </c>
      <c r="AC22" s="439"/>
      <c r="AD22" s="412"/>
    </row>
    <row r="23" spans="1:30" ht="14.25" customHeight="1">
      <c r="AA23" s="413">
        <v>45323</v>
      </c>
      <c r="AB23" s="414">
        <v>0</v>
      </c>
      <c r="AC23" s="560"/>
      <c r="AD23" s="416"/>
    </row>
    <row r="24" spans="1:30" ht="14.25" customHeight="1">
      <c r="A24" s="108" t="s">
        <v>86</v>
      </c>
      <c r="B24" s="123">
        <f>((B21*D21)+(F21*H21))/J22</f>
        <v>1.02</v>
      </c>
      <c r="C24" s="115" t="s">
        <v>90</v>
      </c>
      <c r="D24" s="85"/>
      <c r="E24" s="108" t="s">
        <v>86</v>
      </c>
      <c r="F24" s="114">
        <f>B24*2000/8760</f>
        <v>0.23287671232876711</v>
      </c>
      <c r="G24" s="85" t="s">
        <v>87</v>
      </c>
      <c r="H24" s="85"/>
      <c r="I24" s="85"/>
      <c r="J24" s="85"/>
      <c r="K24" s="85"/>
      <c r="L24" s="108" t="s">
        <v>86</v>
      </c>
      <c r="M24" s="123">
        <f>((M21*O21)+(Q21*S21))/U22</f>
        <v>4.1055000000000001</v>
      </c>
      <c r="N24" s="115" t="s">
        <v>90</v>
      </c>
      <c r="O24" s="85"/>
      <c r="P24" s="108" t="s">
        <v>86</v>
      </c>
      <c r="Q24" s="114">
        <f>M24*2000/8760</f>
        <v>0.93732876712328772</v>
      </c>
      <c r="R24" s="85" t="s">
        <v>87</v>
      </c>
      <c r="S24" s="85"/>
      <c r="T24" s="85"/>
      <c r="U24" s="85"/>
      <c r="V24" s="85"/>
      <c r="AA24" s="413">
        <v>45352</v>
      </c>
      <c r="AB24" s="414">
        <v>0</v>
      </c>
      <c r="AC24" s="560"/>
      <c r="AD24" s="416"/>
    </row>
    <row r="25" spans="1:30" ht="14.25" customHeight="1">
      <c r="A25" s="85"/>
      <c r="B25" s="85"/>
      <c r="C25" s="118" t="s">
        <v>91</v>
      </c>
      <c r="D25" s="85"/>
      <c r="E25" s="85"/>
      <c r="F25" s="85"/>
      <c r="G25" s="440" t="s">
        <v>92</v>
      </c>
      <c r="H25" s="85"/>
      <c r="I25" s="85"/>
      <c r="J25" s="85"/>
      <c r="K25" s="85"/>
      <c r="L25" s="85"/>
      <c r="M25" s="85"/>
      <c r="N25" s="118" t="s">
        <v>91</v>
      </c>
      <c r="O25" s="85"/>
      <c r="P25" s="85"/>
      <c r="Q25" s="85"/>
      <c r="R25" s="440" t="s">
        <v>92</v>
      </c>
      <c r="S25" s="85"/>
      <c r="T25" s="85"/>
      <c r="U25" s="85"/>
      <c r="V25" s="85"/>
      <c r="AA25" s="417">
        <v>45383</v>
      </c>
      <c r="AB25" s="418">
        <v>0</v>
      </c>
      <c r="AC25" s="273"/>
      <c r="AD25" s="420"/>
    </row>
    <row r="26" spans="1:30" ht="14.25" customHeight="1">
      <c r="AA26" s="421">
        <v>45413</v>
      </c>
      <c r="AB26" s="422">
        <v>0</v>
      </c>
      <c r="AC26" s="280">
        <v>29</v>
      </c>
      <c r="AD26" s="424">
        <v>114</v>
      </c>
    </row>
    <row r="27" spans="1:30" ht="14.25" customHeight="1">
      <c r="A27" s="599" t="s">
        <v>93</v>
      </c>
      <c r="B27" s="599"/>
      <c r="C27" s="85"/>
      <c r="D27" s="85"/>
      <c r="E27" s="85"/>
      <c r="F27" s="85"/>
      <c r="G27" s="85"/>
      <c r="H27" s="85"/>
      <c r="I27" s="85"/>
      <c r="J27" s="85"/>
      <c r="K27" s="85"/>
      <c r="L27" s="599" t="s">
        <v>93</v>
      </c>
      <c r="M27" s="599"/>
      <c r="N27" s="85"/>
      <c r="O27" s="85"/>
      <c r="P27" s="85"/>
      <c r="Q27" s="85"/>
      <c r="R27" s="85"/>
      <c r="S27" s="85"/>
      <c r="T27" s="85"/>
      <c r="U27" s="85"/>
      <c r="V27" s="85"/>
      <c r="AA27" s="421">
        <v>45444</v>
      </c>
      <c r="AB27" s="414">
        <v>0</v>
      </c>
      <c r="AC27" s="560"/>
      <c r="AD27" s="416"/>
    </row>
    <row r="28" spans="1:30" ht="14.25" customHeight="1">
      <c r="AA28" s="413">
        <v>45474</v>
      </c>
      <c r="AB28" s="414">
        <v>0</v>
      </c>
      <c r="AC28" s="560"/>
      <c r="AD28" s="416"/>
    </row>
    <row r="29" spans="1:30" ht="14.25" customHeight="1">
      <c r="A29" s="108" t="s">
        <v>86</v>
      </c>
      <c r="B29" s="349">
        <v>137</v>
      </c>
      <c r="C29" s="349" t="s">
        <v>87</v>
      </c>
      <c r="D29" s="361">
        <f>B15</f>
        <v>29</v>
      </c>
      <c r="E29" s="349" t="s">
        <v>324</v>
      </c>
      <c r="F29" s="349">
        <v>137</v>
      </c>
      <c r="G29" s="349" t="s">
        <v>87</v>
      </c>
      <c r="H29" s="437">
        <f>B16</f>
        <v>11</v>
      </c>
      <c r="I29" s="441" t="s">
        <v>324</v>
      </c>
      <c r="J29" s="349">
        <v>1</v>
      </c>
      <c r="K29" s="436" t="s">
        <v>90</v>
      </c>
      <c r="L29" s="108" t="s">
        <v>86</v>
      </c>
      <c r="M29" s="349">
        <v>137</v>
      </c>
      <c r="N29" s="349" t="s">
        <v>87</v>
      </c>
      <c r="O29" s="361">
        <f>M15</f>
        <v>114</v>
      </c>
      <c r="P29" s="349" t="s">
        <v>324</v>
      </c>
      <c r="Q29" s="349">
        <v>137</v>
      </c>
      <c r="R29" s="349" t="s">
        <v>87</v>
      </c>
      <c r="S29" s="437">
        <f>M16</f>
        <v>47</v>
      </c>
      <c r="T29" s="441" t="s">
        <v>324</v>
      </c>
      <c r="U29" s="349">
        <v>1</v>
      </c>
      <c r="V29" s="436" t="s">
        <v>90</v>
      </c>
      <c r="AA29" s="413">
        <v>45505</v>
      </c>
      <c r="AB29" s="414">
        <v>0</v>
      </c>
      <c r="AC29" s="560"/>
      <c r="AD29" s="416"/>
    </row>
    <row r="30" spans="1:30" ht="14.25" customHeight="1">
      <c r="A30" s="85"/>
      <c r="B30" s="85"/>
      <c r="C30" s="364" t="s">
        <v>92</v>
      </c>
      <c r="D30" s="593"/>
      <c r="E30" s="593"/>
      <c r="F30" s="440"/>
      <c r="G30" s="364" t="s">
        <v>92</v>
      </c>
      <c r="H30" s="235"/>
      <c r="I30" s="364"/>
      <c r="J30" s="85">
        <v>2000</v>
      </c>
      <c r="K30" s="365" t="s">
        <v>87</v>
      </c>
      <c r="L30" s="85"/>
      <c r="M30" s="85"/>
      <c r="N30" s="364" t="s">
        <v>92</v>
      </c>
      <c r="O30" s="593"/>
      <c r="P30" s="593"/>
      <c r="Q30" s="440"/>
      <c r="R30" s="364" t="s">
        <v>92</v>
      </c>
      <c r="S30" s="235"/>
      <c r="T30" s="364"/>
      <c r="U30" s="85">
        <v>2000</v>
      </c>
      <c r="V30" s="365" t="s">
        <v>87</v>
      </c>
      <c r="AA30" s="413">
        <v>45536</v>
      </c>
      <c r="AB30" s="414">
        <v>0</v>
      </c>
      <c r="AC30" s="560"/>
      <c r="AD30" s="416"/>
    </row>
    <row r="31" spans="1:30" ht="14.25" customHeight="1">
      <c r="AA31" s="413">
        <v>45566</v>
      </c>
      <c r="AB31" s="414">
        <v>0</v>
      </c>
      <c r="AC31" s="560"/>
      <c r="AD31" s="416"/>
    </row>
    <row r="32" spans="1:30" ht="14.25" customHeight="1">
      <c r="A32" s="108" t="s">
        <v>86</v>
      </c>
      <c r="B32" s="123">
        <f>((B29*D29)+(F29*H29))/J30</f>
        <v>2.74</v>
      </c>
      <c r="C32" s="115" t="s">
        <v>90</v>
      </c>
      <c r="D32" s="85"/>
      <c r="E32" s="108" t="s">
        <v>86</v>
      </c>
      <c r="F32" s="114">
        <f>B32*2000/8760</f>
        <v>0.62557077625570778</v>
      </c>
      <c r="G32" s="85" t="s">
        <v>87</v>
      </c>
      <c r="H32" s="85"/>
      <c r="I32" s="85"/>
      <c r="J32" s="85"/>
      <c r="K32" s="85"/>
      <c r="L32" s="108" t="s">
        <v>86</v>
      </c>
      <c r="M32" s="123">
        <f>((M29*O29)+(Q29*S29))/U30</f>
        <v>11.028499999999999</v>
      </c>
      <c r="N32" s="115" t="s">
        <v>90</v>
      </c>
      <c r="O32" s="85"/>
      <c r="P32" s="108" t="s">
        <v>86</v>
      </c>
      <c r="Q32" s="114">
        <f>M32*2000/8760</f>
        <v>2.5179223744292236</v>
      </c>
      <c r="R32" s="85" t="s">
        <v>87</v>
      </c>
      <c r="S32" s="85"/>
      <c r="T32" s="85"/>
      <c r="U32" s="85"/>
      <c r="V32" s="85"/>
      <c r="AA32" s="413">
        <v>45597</v>
      </c>
      <c r="AB32" s="414">
        <v>0</v>
      </c>
      <c r="AC32" s="560"/>
      <c r="AD32" s="416"/>
    </row>
    <row r="33" spans="1:30" ht="14.25" customHeight="1">
      <c r="A33" s="85"/>
      <c r="B33" s="85"/>
      <c r="C33" s="118" t="s">
        <v>91</v>
      </c>
      <c r="D33" s="85"/>
      <c r="E33" s="85"/>
      <c r="F33" s="85"/>
      <c r="G33" s="440" t="s">
        <v>92</v>
      </c>
      <c r="H33" s="85"/>
      <c r="I33" s="85"/>
      <c r="J33" s="85"/>
      <c r="K33" s="85"/>
      <c r="L33" s="85"/>
      <c r="M33" s="85"/>
      <c r="N33" s="118" t="s">
        <v>91</v>
      </c>
      <c r="O33" s="85"/>
      <c r="P33" s="85"/>
      <c r="Q33" s="85"/>
      <c r="R33" s="440" t="s">
        <v>92</v>
      </c>
      <c r="S33" s="85"/>
      <c r="T33" s="85"/>
      <c r="U33" s="85"/>
      <c r="V33" s="85"/>
      <c r="AA33" s="428">
        <v>45627</v>
      </c>
      <c r="AB33" s="429">
        <v>0</v>
      </c>
      <c r="AC33" s="442"/>
      <c r="AD33" s="431"/>
    </row>
    <row r="34" spans="1:30" ht="14.25" customHeight="1">
      <c r="A34" s="85"/>
      <c r="B34" s="85"/>
      <c r="C34" s="118"/>
      <c r="D34" s="85"/>
      <c r="E34" s="85"/>
      <c r="F34" s="85"/>
      <c r="G34" s="85"/>
      <c r="H34" s="85"/>
      <c r="I34" s="85"/>
      <c r="J34" s="85"/>
      <c r="K34" s="85"/>
      <c r="L34" s="85"/>
      <c r="M34" s="85"/>
      <c r="N34" s="118"/>
      <c r="O34" s="85"/>
      <c r="P34" s="85"/>
      <c r="Q34" s="85"/>
      <c r="R34" s="85"/>
      <c r="S34" s="85"/>
      <c r="T34" s="85"/>
      <c r="U34" s="85"/>
      <c r="V34" s="85"/>
      <c r="AA34" s="432" t="s">
        <v>71</v>
      </c>
      <c r="AB34" s="433">
        <f>SUM(AB28:AB33)</f>
        <v>0</v>
      </c>
      <c r="AC34" s="434">
        <f>SUM(AC22:AC33)</f>
        <v>29</v>
      </c>
      <c r="AD34" s="435">
        <f>SUM(AD22:AD33)</f>
        <v>114</v>
      </c>
    </row>
    <row r="35" spans="1:30" ht="14.25" customHeight="1">
      <c r="A35" s="85"/>
      <c r="B35" s="85"/>
      <c r="C35" s="118"/>
      <c r="D35" s="85"/>
      <c r="E35" s="85"/>
      <c r="F35" s="85"/>
      <c r="G35" s="85"/>
      <c r="H35" s="85"/>
      <c r="I35" s="85"/>
      <c r="J35" s="85"/>
      <c r="K35" s="85"/>
      <c r="L35" s="85"/>
      <c r="M35" s="85"/>
      <c r="N35" s="118"/>
      <c r="O35" s="85"/>
      <c r="P35" s="85"/>
      <c r="Q35" s="85"/>
      <c r="R35" s="85"/>
      <c r="S35" s="85"/>
      <c r="T35" s="85"/>
      <c r="U35" s="85"/>
      <c r="V35" s="85"/>
    </row>
    <row r="36" spans="1:30" ht="14.25" customHeight="1">
      <c r="A36" s="85"/>
      <c r="B36" s="85"/>
      <c r="C36" s="118"/>
      <c r="D36" s="85"/>
      <c r="E36" s="85"/>
      <c r="F36" s="85"/>
      <c r="G36" s="85"/>
      <c r="H36" s="85"/>
      <c r="I36" s="85"/>
      <c r="J36" s="85"/>
      <c r="K36" s="85"/>
      <c r="L36" s="85"/>
      <c r="M36" s="85"/>
      <c r="N36" s="118"/>
      <c r="O36" s="85"/>
      <c r="P36" s="85"/>
      <c r="Q36" s="85"/>
      <c r="R36" s="85"/>
      <c r="S36" s="85"/>
      <c r="T36" s="85"/>
      <c r="U36" s="85"/>
      <c r="V36" s="85"/>
    </row>
    <row r="37" spans="1:30" ht="14.25" customHeight="1">
      <c r="A37" s="85"/>
      <c r="B37" s="85"/>
      <c r="C37" s="118"/>
      <c r="D37" s="85"/>
      <c r="E37" s="85"/>
      <c r="F37" s="85"/>
      <c r="G37" s="85"/>
      <c r="H37" s="85"/>
      <c r="I37" s="85"/>
      <c r="J37" s="85"/>
      <c r="K37" s="85"/>
      <c r="L37" s="85"/>
      <c r="M37" s="85"/>
      <c r="N37" s="118"/>
      <c r="O37" s="85"/>
      <c r="P37" s="85"/>
      <c r="Q37" s="85"/>
      <c r="R37" s="85"/>
      <c r="S37" s="85"/>
      <c r="T37" s="85"/>
      <c r="U37" s="85"/>
      <c r="V37" s="85"/>
    </row>
    <row r="38" spans="1:30" ht="14.25" customHeight="1">
      <c r="A38" s="578" t="s">
        <v>302</v>
      </c>
      <c r="B38" s="578"/>
      <c r="C38" s="578"/>
      <c r="D38" s="578"/>
      <c r="E38" s="578"/>
      <c r="F38" s="578"/>
      <c r="G38" s="578"/>
      <c r="H38" s="578"/>
      <c r="I38" s="578"/>
      <c r="J38" s="578"/>
      <c r="K38" s="578"/>
      <c r="L38" s="578" t="s">
        <v>303</v>
      </c>
      <c r="M38" s="578"/>
      <c r="N38" s="578"/>
      <c r="O38" s="578"/>
      <c r="P38" s="578"/>
      <c r="Q38" s="578"/>
      <c r="R38" s="578"/>
      <c r="S38" s="578"/>
      <c r="T38" s="578"/>
      <c r="U38" s="578"/>
      <c r="V38" s="578"/>
    </row>
    <row r="40" spans="1:30" ht="14.25" customHeight="1">
      <c r="A40" s="599" t="s">
        <v>95</v>
      </c>
      <c r="B40" s="599"/>
      <c r="C40" s="85"/>
      <c r="D40" s="85"/>
      <c r="E40" s="85"/>
      <c r="F40" s="85"/>
      <c r="G40" s="85"/>
      <c r="H40" s="85"/>
      <c r="I40" s="85"/>
      <c r="J40" s="85"/>
      <c r="K40" s="85"/>
      <c r="L40" s="599" t="s">
        <v>95</v>
      </c>
      <c r="M40" s="599"/>
      <c r="N40" s="85"/>
      <c r="O40" s="85"/>
      <c r="P40" s="85"/>
      <c r="Q40" s="85"/>
      <c r="R40" s="85"/>
      <c r="S40" s="85"/>
      <c r="T40" s="85"/>
      <c r="U40" s="85"/>
      <c r="V40" s="85"/>
    </row>
    <row r="42" spans="1:30" ht="14.25" customHeight="1">
      <c r="A42" s="108" t="s">
        <v>86</v>
      </c>
      <c r="B42" s="443">
        <v>13</v>
      </c>
      <c r="C42" s="349" t="s">
        <v>87</v>
      </c>
      <c r="D42" s="361">
        <f>B15</f>
        <v>29</v>
      </c>
      <c r="E42" s="349" t="s">
        <v>324</v>
      </c>
      <c r="F42" s="349">
        <v>11</v>
      </c>
      <c r="G42" s="349" t="s">
        <v>87</v>
      </c>
      <c r="H42" s="437">
        <f>B16</f>
        <v>11</v>
      </c>
      <c r="I42" s="441" t="s">
        <v>324</v>
      </c>
      <c r="J42">
        <v>1</v>
      </c>
      <c r="K42" s="444" t="s">
        <v>90</v>
      </c>
      <c r="L42" s="108" t="s">
        <v>86</v>
      </c>
      <c r="M42" s="443">
        <v>13</v>
      </c>
      <c r="N42" s="349" t="s">
        <v>87</v>
      </c>
      <c r="O42" s="361">
        <f>M15</f>
        <v>114</v>
      </c>
      <c r="P42" s="349" t="s">
        <v>324</v>
      </c>
      <c r="Q42" s="349">
        <v>11</v>
      </c>
      <c r="R42" s="349" t="s">
        <v>87</v>
      </c>
      <c r="S42" s="437">
        <f>M16</f>
        <v>47</v>
      </c>
      <c r="T42" s="441" t="s">
        <v>324</v>
      </c>
      <c r="U42">
        <v>1</v>
      </c>
      <c r="V42" s="444" t="s">
        <v>90</v>
      </c>
    </row>
    <row r="43" spans="1:30" ht="14.25" customHeight="1">
      <c r="A43" s="85"/>
      <c r="B43" s="85"/>
      <c r="C43" s="364" t="s">
        <v>92</v>
      </c>
      <c r="D43" s="593"/>
      <c r="E43" s="593"/>
      <c r="F43" s="440"/>
      <c r="G43" s="364" t="s">
        <v>92</v>
      </c>
      <c r="H43" s="235"/>
      <c r="I43" s="364"/>
      <c r="J43" s="445">
        <v>2000</v>
      </c>
      <c r="K43" s="364" t="s">
        <v>87</v>
      </c>
      <c r="L43" s="85"/>
      <c r="M43" s="85"/>
      <c r="N43" s="364" t="s">
        <v>92</v>
      </c>
      <c r="O43" s="593"/>
      <c r="P43" s="593"/>
      <c r="Q43" s="440"/>
      <c r="R43" s="364" t="s">
        <v>92</v>
      </c>
      <c r="S43" s="235"/>
      <c r="T43" s="364"/>
      <c r="U43" s="445">
        <v>2000</v>
      </c>
      <c r="V43" s="364" t="s">
        <v>87</v>
      </c>
    </row>
    <row r="45" spans="1:30" ht="14.25" customHeight="1">
      <c r="A45" s="108" t="s">
        <v>86</v>
      </c>
      <c r="B45" s="123">
        <f>((B42*D42)+(F42*H42))/J43</f>
        <v>0.249</v>
      </c>
      <c r="C45" s="115" t="s">
        <v>90</v>
      </c>
      <c r="D45" s="85"/>
      <c r="E45" s="108" t="s">
        <v>86</v>
      </c>
      <c r="F45" s="369">
        <f>B45*2000/8760</f>
        <v>5.6849315068493153E-2</v>
      </c>
      <c r="G45" s="85" t="s">
        <v>87</v>
      </c>
      <c r="H45" s="85"/>
      <c r="I45" s="85"/>
      <c r="J45" s="85"/>
      <c r="K45" s="85"/>
      <c r="L45" s="108" t="s">
        <v>86</v>
      </c>
      <c r="M45" s="123">
        <f>((M42*O42)+(Q42*S42))/U43</f>
        <v>0.99950000000000006</v>
      </c>
      <c r="N45" s="115" t="s">
        <v>90</v>
      </c>
      <c r="O45" s="85"/>
      <c r="P45" s="108" t="s">
        <v>86</v>
      </c>
      <c r="Q45" s="369">
        <f>M45*2000/8760</f>
        <v>0.22819634703196348</v>
      </c>
      <c r="R45" s="85" t="s">
        <v>87</v>
      </c>
      <c r="S45" s="85"/>
      <c r="T45" s="85"/>
      <c r="U45" s="85"/>
      <c r="V45" s="85"/>
    </row>
    <row r="46" spans="1:30" ht="14.25" customHeight="1">
      <c r="A46" s="85"/>
      <c r="B46" s="85"/>
      <c r="C46" s="118" t="s">
        <v>91</v>
      </c>
      <c r="D46" s="85"/>
      <c r="E46" s="85"/>
      <c r="F46" s="85"/>
      <c r="G46" s="440" t="s">
        <v>92</v>
      </c>
      <c r="H46" s="85"/>
      <c r="I46" s="85"/>
      <c r="J46" s="85"/>
      <c r="K46" s="85"/>
      <c r="L46" s="85"/>
      <c r="M46" s="85"/>
      <c r="N46" s="118" t="s">
        <v>91</v>
      </c>
      <c r="O46" s="85"/>
      <c r="P46" s="85"/>
      <c r="Q46" s="85"/>
      <c r="R46" s="440" t="s">
        <v>92</v>
      </c>
      <c r="S46" s="85"/>
      <c r="T46" s="85"/>
      <c r="U46" s="85"/>
      <c r="V46" s="85"/>
    </row>
    <row r="48" spans="1:30" ht="14.25" customHeight="1">
      <c r="A48" s="599" t="s">
        <v>97</v>
      </c>
      <c r="B48" s="599"/>
      <c r="C48" s="85"/>
      <c r="D48" s="85"/>
      <c r="E48" s="85"/>
      <c r="F48" s="85"/>
      <c r="G48" s="85"/>
      <c r="H48" s="85"/>
      <c r="I48" s="85"/>
      <c r="J48" s="85"/>
      <c r="K48" s="85"/>
      <c r="L48" s="599" t="s">
        <v>97</v>
      </c>
      <c r="M48" s="599"/>
      <c r="N48" s="85"/>
      <c r="O48" s="85"/>
      <c r="P48" s="85"/>
      <c r="Q48" s="85"/>
      <c r="R48" s="85"/>
      <c r="S48" s="85"/>
      <c r="T48" s="85"/>
      <c r="U48" s="85"/>
      <c r="V48" s="85"/>
    </row>
    <row r="50" spans="1:22" ht="14.25" customHeight="1">
      <c r="A50" s="108" t="s">
        <v>86</v>
      </c>
      <c r="B50" s="349">
        <v>2.3E-2</v>
      </c>
      <c r="C50" s="349" t="s">
        <v>87</v>
      </c>
      <c r="D50" s="361">
        <f>B15</f>
        <v>29</v>
      </c>
      <c r="E50" s="349" t="s">
        <v>324</v>
      </c>
      <c r="F50" s="349">
        <v>1.6E-2</v>
      </c>
      <c r="G50" s="349" t="s">
        <v>87</v>
      </c>
      <c r="H50" s="437">
        <f>B16</f>
        <v>11</v>
      </c>
      <c r="I50" s="441" t="s">
        <v>324</v>
      </c>
      <c r="J50" s="349">
        <v>1</v>
      </c>
      <c r="K50" s="436" t="s">
        <v>90</v>
      </c>
      <c r="L50" s="108" t="s">
        <v>86</v>
      </c>
      <c r="M50" s="349">
        <v>2.3E-2</v>
      </c>
      <c r="N50" s="349" t="s">
        <v>87</v>
      </c>
      <c r="O50" s="361">
        <f>M15</f>
        <v>114</v>
      </c>
      <c r="P50" s="349" t="s">
        <v>324</v>
      </c>
      <c r="Q50" s="349">
        <v>1.6E-2</v>
      </c>
      <c r="R50" s="349" t="s">
        <v>87</v>
      </c>
      <c r="S50" s="437">
        <f>M16</f>
        <v>47</v>
      </c>
      <c r="T50" s="441" t="s">
        <v>324</v>
      </c>
      <c r="U50" s="349">
        <v>1</v>
      </c>
      <c r="V50" s="436" t="s">
        <v>90</v>
      </c>
    </row>
    <row r="51" spans="1:22" ht="14.25" customHeight="1">
      <c r="A51" s="85"/>
      <c r="B51" s="85"/>
      <c r="C51" s="364" t="s">
        <v>92</v>
      </c>
      <c r="D51" s="593"/>
      <c r="E51" s="593"/>
      <c r="F51" s="440"/>
      <c r="G51" s="364" t="s">
        <v>92</v>
      </c>
      <c r="H51" s="235"/>
      <c r="I51" s="364"/>
      <c r="J51" s="85">
        <v>2000</v>
      </c>
      <c r="K51" s="365" t="s">
        <v>87</v>
      </c>
      <c r="L51" s="85"/>
      <c r="M51" s="85"/>
      <c r="N51" s="364" t="s">
        <v>92</v>
      </c>
      <c r="O51" s="593"/>
      <c r="P51" s="593"/>
      <c r="Q51" s="440"/>
      <c r="R51" s="364" t="s">
        <v>92</v>
      </c>
      <c r="S51" s="235"/>
      <c r="T51" s="364"/>
      <c r="U51" s="85">
        <v>2000</v>
      </c>
      <c r="V51" s="365" t="s">
        <v>87</v>
      </c>
    </row>
    <row r="53" spans="1:22" ht="14.25" customHeight="1">
      <c r="A53" s="108" t="s">
        <v>86</v>
      </c>
      <c r="B53" s="123">
        <f>((B50*D50)+(F50*H50))/J51</f>
        <v>4.215E-4</v>
      </c>
      <c r="C53" s="115" t="s">
        <v>90</v>
      </c>
      <c r="D53" s="85"/>
      <c r="E53" s="108" t="s">
        <v>86</v>
      </c>
      <c r="F53" s="446">
        <f>B53*2000/8760</f>
        <v>9.6232876712328761E-5</v>
      </c>
      <c r="G53" s="85" t="s">
        <v>87</v>
      </c>
      <c r="H53" s="85"/>
      <c r="I53" s="85"/>
      <c r="J53" s="85"/>
      <c r="K53" s="85"/>
      <c r="L53" s="108" t="s">
        <v>86</v>
      </c>
      <c r="M53" s="123">
        <f>((M50*O50)+(Q50*S50))/U51</f>
        <v>1.6869999999999999E-3</v>
      </c>
      <c r="N53" s="115" t="s">
        <v>90</v>
      </c>
      <c r="O53" s="85"/>
      <c r="P53" s="108" t="s">
        <v>86</v>
      </c>
      <c r="Q53" s="446">
        <f>M53*2000/8760</f>
        <v>3.8515981735159812E-4</v>
      </c>
      <c r="R53" s="85" t="s">
        <v>87</v>
      </c>
      <c r="S53" s="85"/>
      <c r="T53" s="85"/>
      <c r="U53" s="85"/>
      <c r="V53" s="85"/>
    </row>
    <row r="54" spans="1:22" ht="14.25" customHeight="1">
      <c r="A54" s="85"/>
      <c r="B54" s="85"/>
      <c r="C54" s="118" t="s">
        <v>91</v>
      </c>
      <c r="D54" s="85"/>
      <c r="E54" s="85"/>
      <c r="F54" s="85"/>
      <c r="G54" s="440" t="s">
        <v>92</v>
      </c>
      <c r="H54" s="85"/>
      <c r="I54" s="85"/>
      <c r="J54" s="85"/>
      <c r="K54" s="85"/>
      <c r="L54" s="85"/>
      <c r="M54" s="85"/>
      <c r="N54" s="118" t="s">
        <v>91</v>
      </c>
      <c r="O54" s="85"/>
      <c r="P54" s="85"/>
      <c r="Q54" s="85"/>
      <c r="R54" s="440" t="s">
        <v>92</v>
      </c>
      <c r="S54" s="85"/>
      <c r="T54" s="85"/>
      <c r="U54" s="85"/>
      <c r="V54" s="85"/>
    </row>
    <row r="57" spans="1:22" ht="14.25" customHeight="1">
      <c r="A57" s="447" t="s">
        <v>18</v>
      </c>
      <c r="B57" s="448" t="s">
        <v>237</v>
      </c>
      <c r="C57" s="590" t="s">
        <v>236</v>
      </c>
      <c r="D57" s="590"/>
    </row>
    <row r="58" spans="1:22" ht="14.25" customHeight="1">
      <c r="A58" s="105"/>
      <c r="B58" s="85"/>
      <c r="C58" s="85"/>
    </row>
    <row r="59" spans="1:22" ht="14.25" customHeight="1">
      <c r="A59" s="85" t="s">
        <v>98</v>
      </c>
      <c r="B59" s="85"/>
      <c r="C59" s="85"/>
      <c r="D59" s="85"/>
      <c r="E59" s="85"/>
      <c r="F59" s="85"/>
      <c r="G59" s="85"/>
      <c r="H59" s="85"/>
      <c r="I59" s="85"/>
    </row>
    <row r="61" spans="1:22" ht="14.25" customHeight="1">
      <c r="A61" s="108" t="s">
        <v>86</v>
      </c>
      <c r="B61" s="449">
        <v>22.577999999999999</v>
      </c>
      <c r="C61" s="349" t="s">
        <v>87</v>
      </c>
      <c r="D61" s="361">
        <f>SUM(B13+M13)</f>
        <v>1275268</v>
      </c>
      <c r="E61" s="349" t="s">
        <v>88</v>
      </c>
      <c r="F61" s="556"/>
      <c r="G61" s="362" t="s">
        <v>90</v>
      </c>
    </row>
    <row r="62" spans="1:22" ht="14.25" customHeight="1">
      <c r="A62" s="85"/>
      <c r="B62" s="363"/>
      <c r="C62" s="364" t="s">
        <v>88</v>
      </c>
      <c r="D62" s="557"/>
      <c r="E62" s="226" t="s">
        <v>59</v>
      </c>
      <c r="F62" s="235">
        <v>2000</v>
      </c>
      <c r="G62" s="365" t="s">
        <v>87</v>
      </c>
    </row>
    <row r="65" spans="1:9" ht="14.25" customHeight="1">
      <c r="A65" s="108" t="s">
        <v>86</v>
      </c>
      <c r="B65" s="123">
        <f>B61*D61/F62</f>
        <v>14396.500452</v>
      </c>
      <c r="C65" s="115" t="s">
        <v>90</v>
      </c>
      <c r="D65" s="108" t="s">
        <v>86</v>
      </c>
      <c r="E65" s="114">
        <f>B65*(2000/8760)</f>
        <v>3286.8722493150685</v>
      </c>
      <c r="F65" s="115" t="s">
        <v>87</v>
      </c>
      <c r="G65" s="85"/>
      <c r="H65" s="85"/>
      <c r="I65" s="85"/>
    </row>
    <row r="66" spans="1:9" ht="14.25" customHeight="1">
      <c r="A66" s="85"/>
      <c r="B66" s="85"/>
      <c r="C66" s="118" t="s">
        <v>59</v>
      </c>
      <c r="D66" s="85"/>
      <c r="E66" s="85"/>
      <c r="F66" s="118" t="s">
        <v>92</v>
      </c>
      <c r="G66" s="85"/>
      <c r="H66" s="85"/>
      <c r="I66" s="85"/>
    </row>
  </sheetData>
  <mergeCells count="19">
    <mergeCell ref="A2:K2"/>
    <mergeCell ref="L2:V2"/>
    <mergeCell ref="D22:E22"/>
    <mergeCell ref="O22:P22"/>
    <mergeCell ref="A27:B27"/>
    <mergeCell ref="L27:M27"/>
    <mergeCell ref="D30:E30"/>
    <mergeCell ref="O30:P30"/>
    <mergeCell ref="A38:K38"/>
    <mergeCell ref="L38:V38"/>
    <mergeCell ref="A40:B40"/>
    <mergeCell ref="L40:M40"/>
    <mergeCell ref="C57:D57"/>
    <mergeCell ref="D43:E43"/>
    <mergeCell ref="O43:P43"/>
    <mergeCell ref="A48:B48"/>
    <mergeCell ref="L48:M48"/>
    <mergeCell ref="D51:E51"/>
    <mergeCell ref="O51:P51"/>
  </mergeCells>
  <pageMargins left="0.7" right="0.7" top="0.75" bottom="0.75" header="0.511811023622047" footer="0.511811023622047"/>
  <pageSetup paperSize="9" orientation="portrait" horizontalDpi="300" verticalDpi="30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B2:P20"/>
  <sheetViews>
    <sheetView zoomScaleNormal="100" workbookViewId="0"/>
  </sheetViews>
  <sheetFormatPr defaultColWidth="8.7109375" defaultRowHeight="15"/>
  <cols>
    <col min="2" max="2" width="12.140625" customWidth="1"/>
    <col min="3" max="3" width="11.42578125" customWidth="1"/>
    <col min="4" max="4" width="10.7109375" customWidth="1"/>
    <col min="10" max="10" width="17.85546875" customWidth="1"/>
    <col min="11" max="13" width="14.85546875" customWidth="1"/>
    <col min="14" max="15" width="13.7109375" customWidth="1"/>
    <col min="16" max="16" width="14.140625" customWidth="1"/>
  </cols>
  <sheetData>
    <row r="2" spans="2:16" ht="9.75" customHeight="1">
      <c r="B2" s="600" t="s">
        <v>325</v>
      </c>
      <c r="C2" s="600"/>
      <c r="D2" s="600"/>
      <c r="J2" s="600" t="s">
        <v>325</v>
      </c>
      <c r="K2" s="600"/>
      <c r="L2" s="600"/>
      <c r="M2" s="600"/>
      <c r="N2" s="600"/>
      <c r="O2" s="600"/>
      <c r="P2" s="600"/>
    </row>
    <row r="3" spans="2:16" ht="14.25" customHeight="1">
      <c r="B3" s="600"/>
      <c r="C3" s="600"/>
      <c r="D3" s="600"/>
      <c r="J3" s="600"/>
      <c r="K3" s="600"/>
      <c r="L3" s="600"/>
      <c r="M3" s="600"/>
      <c r="N3" s="600"/>
      <c r="O3" s="600"/>
      <c r="P3" s="600"/>
    </row>
    <row r="4" spans="2:16" ht="14.25" customHeight="1">
      <c r="B4" s="600"/>
      <c r="C4" s="600"/>
      <c r="D4" s="600"/>
      <c r="J4" s="600"/>
      <c r="K4" s="600"/>
      <c r="L4" s="600"/>
      <c r="M4" s="600"/>
      <c r="N4" s="600"/>
      <c r="O4" s="600"/>
      <c r="P4" s="600"/>
    </row>
    <row r="5" spans="2:16" ht="14.25" customHeight="1">
      <c r="B5" s="450" t="s">
        <v>59</v>
      </c>
      <c r="C5" s="450" t="s">
        <v>326</v>
      </c>
      <c r="D5" s="450" t="s">
        <v>327</v>
      </c>
      <c r="J5" s="450" t="s">
        <v>59</v>
      </c>
      <c r="K5" s="450" t="s">
        <v>328</v>
      </c>
      <c r="L5" s="450" t="s">
        <v>329</v>
      </c>
      <c r="M5" s="450" t="s">
        <v>330</v>
      </c>
      <c r="N5" s="450" t="s">
        <v>331</v>
      </c>
      <c r="O5" s="450" t="s">
        <v>332</v>
      </c>
      <c r="P5" s="450" t="s">
        <v>330</v>
      </c>
    </row>
    <row r="6" spans="2:16" ht="14.25" customHeight="1">
      <c r="B6" s="135" t="s">
        <v>1</v>
      </c>
      <c r="C6" s="451">
        <f>M6</f>
        <v>0</v>
      </c>
      <c r="D6" s="451">
        <f>P6</f>
        <v>0</v>
      </c>
      <c r="J6" s="135" t="s">
        <v>1</v>
      </c>
      <c r="K6" s="452"/>
      <c r="L6" s="451"/>
      <c r="M6" s="453">
        <f>SUM(K6:L6)</f>
        <v>0</v>
      </c>
      <c r="N6" s="452"/>
      <c r="O6" s="451"/>
      <c r="P6" s="453">
        <f>SUM(N6:O6)</f>
        <v>0</v>
      </c>
    </row>
    <row r="7" spans="2:16" ht="14.25" customHeight="1">
      <c r="B7" s="135" t="s">
        <v>2</v>
      </c>
      <c r="C7" s="451">
        <f>M7</f>
        <v>0</v>
      </c>
      <c r="D7" s="451">
        <f>P7</f>
        <v>0</v>
      </c>
      <c r="J7" s="135" t="s">
        <v>2</v>
      </c>
      <c r="K7" s="452"/>
      <c r="L7" s="452"/>
      <c r="M7" s="453">
        <f>SUM(K7:L7)</f>
        <v>0</v>
      </c>
      <c r="N7" s="452"/>
      <c r="O7" s="452"/>
      <c r="P7" s="453">
        <f>SUM(N7:O7)</f>
        <v>0</v>
      </c>
    </row>
    <row r="8" spans="2:16" ht="14.25" customHeight="1">
      <c r="B8" s="135" t="s">
        <v>3</v>
      </c>
      <c r="C8" s="451">
        <f>M8</f>
        <v>0</v>
      </c>
      <c r="D8" s="451">
        <f>P8</f>
        <v>0</v>
      </c>
      <c r="J8" s="135" t="s">
        <v>3</v>
      </c>
      <c r="K8" s="452"/>
      <c r="L8" s="452"/>
      <c r="M8" s="453">
        <f>SUM(K8:L8)</f>
        <v>0</v>
      </c>
      <c r="N8" s="452"/>
      <c r="O8" s="452"/>
      <c r="P8" s="453">
        <f>SUM(N8:O8)</f>
        <v>0</v>
      </c>
    </row>
    <row r="9" spans="2:16" ht="14.25" customHeight="1">
      <c r="B9" s="135" t="s">
        <v>4</v>
      </c>
      <c r="C9" s="451">
        <f>M9</f>
        <v>0</v>
      </c>
      <c r="D9" s="451">
        <f>P9</f>
        <v>0</v>
      </c>
      <c r="J9" s="135" t="s">
        <v>4</v>
      </c>
      <c r="K9" s="452"/>
      <c r="L9" s="452"/>
      <c r="M9" s="453">
        <f>SUM(K9:L9)</f>
        <v>0</v>
      </c>
      <c r="N9" s="452"/>
      <c r="O9" s="452"/>
      <c r="P9" s="453">
        <f>SUM(N9:O9)</f>
        <v>0</v>
      </c>
    </row>
    <row r="10" spans="2:16" ht="14.25" customHeight="1">
      <c r="B10" s="135" t="s">
        <v>5</v>
      </c>
      <c r="C10" s="451">
        <f>M10</f>
        <v>0</v>
      </c>
      <c r="D10" s="451">
        <f>P10</f>
        <v>0</v>
      </c>
      <c r="J10" s="135" t="s">
        <v>5</v>
      </c>
      <c r="K10" s="452"/>
      <c r="L10" s="452"/>
      <c r="M10" s="453">
        <f>SUM(K10:L10)</f>
        <v>0</v>
      </c>
      <c r="N10" s="452"/>
      <c r="O10" s="452"/>
      <c r="P10" s="453">
        <f>SUM(N10:O10)</f>
        <v>0</v>
      </c>
    </row>
    <row r="11" spans="2:16" ht="14.25" customHeight="1">
      <c r="B11" s="454" t="s">
        <v>6</v>
      </c>
      <c r="C11" s="455">
        <f>M11</f>
        <v>24850.7</v>
      </c>
      <c r="D11" s="455">
        <f>P11</f>
        <v>4971</v>
      </c>
      <c r="J11" s="454" t="s">
        <v>6</v>
      </c>
      <c r="K11" s="456">
        <v>5689.8</v>
      </c>
      <c r="L11" s="456">
        <v>19160.900000000001</v>
      </c>
      <c r="M11" s="457">
        <f>SUM(K11:L11)</f>
        <v>24850.7</v>
      </c>
      <c r="N11" s="456">
        <v>1092</v>
      </c>
      <c r="O11" s="456">
        <v>3879</v>
      </c>
      <c r="P11" s="457">
        <f>SUM(N11:O11)</f>
        <v>4971</v>
      </c>
    </row>
    <row r="12" spans="2:16" ht="14.25" customHeight="1">
      <c r="B12" s="135" t="s">
        <v>333</v>
      </c>
      <c r="C12" s="451">
        <f>M12</f>
        <v>0</v>
      </c>
      <c r="D12" s="451">
        <f>P12</f>
        <v>0</v>
      </c>
      <c r="J12" s="135" t="s">
        <v>333</v>
      </c>
      <c r="K12" s="452"/>
      <c r="L12" s="452"/>
      <c r="M12" s="453">
        <f>SUM(K12:L12)</f>
        <v>0</v>
      </c>
      <c r="N12" s="452"/>
      <c r="O12" s="452"/>
      <c r="P12" s="453">
        <f>SUM(N12:O12)</f>
        <v>0</v>
      </c>
    </row>
    <row r="13" spans="2:16" ht="14.25" customHeight="1">
      <c r="B13" s="135" t="s">
        <v>334</v>
      </c>
      <c r="C13" s="451">
        <f>M13</f>
        <v>0</v>
      </c>
      <c r="D13" s="451">
        <f>P13</f>
        <v>0</v>
      </c>
      <c r="J13" s="135" t="s">
        <v>334</v>
      </c>
      <c r="K13" s="452"/>
      <c r="L13" s="452"/>
      <c r="M13" s="453">
        <f>SUM(K13+L13)</f>
        <v>0</v>
      </c>
      <c r="N13" s="452"/>
      <c r="O13" s="452"/>
      <c r="P13" s="453">
        <f>SUM(N13:O13)</f>
        <v>0</v>
      </c>
    </row>
    <row r="14" spans="2:16" ht="14.25" customHeight="1">
      <c r="B14" s="135" t="s">
        <v>335</v>
      </c>
      <c r="C14" s="451">
        <f>M14</f>
        <v>0</v>
      </c>
      <c r="D14" s="451">
        <f>P14</f>
        <v>0</v>
      </c>
      <c r="J14" s="135" t="s">
        <v>335</v>
      </c>
      <c r="K14" s="452"/>
      <c r="L14" s="452"/>
      <c r="M14" s="453">
        <f>SUM(K14:L14)</f>
        <v>0</v>
      </c>
      <c r="N14" s="452"/>
      <c r="O14" s="452"/>
      <c r="P14" s="453">
        <f>SUM(N14:O14)</f>
        <v>0</v>
      </c>
    </row>
    <row r="15" spans="2:16" ht="14.25" customHeight="1">
      <c r="B15" s="135" t="s">
        <v>336</v>
      </c>
      <c r="C15" s="451">
        <f>M15</f>
        <v>0</v>
      </c>
      <c r="D15" s="451">
        <f>P15</f>
        <v>0</v>
      </c>
      <c r="J15" s="135" t="s">
        <v>336</v>
      </c>
      <c r="K15" s="452"/>
      <c r="L15" s="451"/>
      <c r="M15" s="453">
        <f>SUM(K15:L15)</f>
        <v>0</v>
      </c>
      <c r="N15" s="452"/>
      <c r="O15" s="451"/>
      <c r="P15" s="453">
        <f>SUM(N15:O15)</f>
        <v>0</v>
      </c>
    </row>
    <row r="16" spans="2:16" ht="14.25" customHeight="1">
      <c r="B16" s="135" t="s">
        <v>337</v>
      </c>
      <c r="C16" s="451">
        <f>M16</f>
        <v>0</v>
      </c>
      <c r="D16" s="451">
        <f>P16</f>
        <v>0</v>
      </c>
      <c r="J16" s="135" t="s">
        <v>337</v>
      </c>
      <c r="K16" s="452"/>
      <c r="L16" s="452"/>
      <c r="M16" s="453">
        <f>SUM(K16:L16)</f>
        <v>0</v>
      </c>
      <c r="N16" s="452"/>
      <c r="O16" s="452"/>
      <c r="P16" s="453">
        <f>SUM(N16:O16)</f>
        <v>0</v>
      </c>
    </row>
    <row r="17" spans="2:16" ht="14.25" customHeight="1">
      <c r="B17" s="135" t="s">
        <v>338</v>
      </c>
      <c r="C17" s="451">
        <f>M17</f>
        <v>0</v>
      </c>
      <c r="D17" s="451">
        <f>P17</f>
        <v>0</v>
      </c>
      <c r="J17" s="135" t="s">
        <v>338</v>
      </c>
      <c r="K17" s="452"/>
      <c r="L17" s="452"/>
      <c r="M17" s="453">
        <f>SUM(K17:L17)</f>
        <v>0</v>
      </c>
      <c r="N17" s="452"/>
      <c r="O17" s="452"/>
      <c r="P17" s="453">
        <f>SUM(N17:O17)</f>
        <v>0</v>
      </c>
    </row>
    <row r="18" spans="2:16" ht="14.25" customHeight="1">
      <c r="B18" s="450" t="s">
        <v>339</v>
      </c>
      <c r="C18" s="458">
        <f>SUM(C6:C17)</f>
        <v>24850.7</v>
      </c>
      <c r="D18" s="458">
        <f>SUM(D6:D17)</f>
        <v>4971</v>
      </c>
      <c r="J18" s="450" t="s">
        <v>339</v>
      </c>
      <c r="K18" s="458">
        <f>SUM(K6:K17)</f>
        <v>5689.8</v>
      </c>
      <c r="L18" s="458">
        <f>SUM(L6:L17)</f>
        <v>19160.900000000001</v>
      </c>
      <c r="M18" s="458">
        <f>SUM(M6:M17)</f>
        <v>24850.7</v>
      </c>
      <c r="N18" s="458">
        <f>SUM(N6:N17)</f>
        <v>1092</v>
      </c>
      <c r="O18" s="458">
        <f>SUM(O6:O17)</f>
        <v>3879</v>
      </c>
      <c r="P18" s="458">
        <f>SUM(P6:P17)</f>
        <v>4971</v>
      </c>
    </row>
    <row r="19" spans="2:16" ht="14.25" customHeight="1">
      <c r="B19" s="459" t="s">
        <v>340</v>
      </c>
      <c r="C19" s="460">
        <f>C18/2000</f>
        <v>12.42535</v>
      </c>
      <c r="D19" s="460">
        <f>D18/2000</f>
        <v>2.4855</v>
      </c>
      <c r="J19" s="459" t="s">
        <v>340</v>
      </c>
      <c r="K19" s="460">
        <f>K18/2000</f>
        <v>2.8449</v>
      </c>
      <c r="L19" s="460">
        <f>L18/2000</f>
        <v>9.5804500000000008</v>
      </c>
      <c r="M19" s="460">
        <f>M18/2000</f>
        <v>12.42535</v>
      </c>
      <c r="N19" s="460">
        <f>N18/2000</f>
        <v>0.54600000000000004</v>
      </c>
      <c r="O19" s="460">
        <f>O18/2000</f>
        <v>1.9395</v>
      </c>
      <c r="P19" s="460">
        <f>P18/2000</f>
        <v>2.4855</v>
      </c>
    </row>
    <row r="20" spans="2:16" ht="14.25" customHeight="1">
      <c r="J20" s="450" t="s">
        <v>341</v>
      </c>
      <c r="K20" s="601">
        <f>SUM(K19:L19)</f>
        <v>12.425350000000002</v>
      </c>
      <c r="L20" s="601"/>
      <c r="M20" s="452"/>
      <c r="N20" s="601">
        <f>SUM(N19:O19)</f>
        <v>2.4855</v>
      </c>
      <c r="O20" s="601"/>
      <c r="P20" s="561"/>
    </row>
  </sheetData>
  <mergeCells count="4">
    <mergeCell ref="B2:D4"/>
    <mergeCell ref="J2:P4"/>
    <mergeCell ref="K20:L20"/>
    <mergeCell ref="N20:O20"/>
  </mergeCells>
  <pageMargins left="0.7" right="0.7" top="0.75" bottom="0.75" header="0.511811023622047" footer="0.511811023622047"/>
  <pageSetup paperSize="9" orientation="portrait" horizontalDpi="300" verticalDpi="30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2:AA82"/>
  <sheetViews>
    <sheetView zoomScaleNormal="100" workbookViewId="0"/>
  </sheetViews>
  <sheetFormatPr defaultColWidth="8.7109375" defaultRowHeight="15"/>
  <cols>
    <col min="1" max="1" width="10.7109375" customWidth="1"/>
    <col min="2" max="2" width="17.5703125" customWidth="1"/>
    <col min="3" max="3" width="7.85546875" customWidth="1"/>
    <col min="4" max="4" width="11.7109375" customWidth="1"/>
    <col min="6" max="6" width="6.7109375" customWidth="1"/>
    <col min="8" max="8" width="6.140625" customWidth="1"/>
    <col min="11" max="11" width="10.85546875" customWidth="1"/>
    <col min="12" max="12" width="17.5703125" customWidth="1"/>
    <col min="14" max="14" width="11.7109375" customWidth="1"/>
    <col min="24" max="24" width="20.140625" customWidth="1"/>
  </cols>
  <sheetData>
    <row r="2" spans="1:27" ht="14.25" customHeight="1">
      <c r="A2" s="574" t="s">
        <v>342</v>
      </c>
      <c r="B2" s="574"/>
      <c r="C2" s="574"/>
      <c r="D2" s="574"/>
      <c r="E2" s="574"/>
      <c r="F2" s="574"/>
      <c r="G2" s="574"/>
      <c r="H2" s="574"/>
      <c r="I2" s="574"/>
      <c r="J2" s="574"/>
      <c r="K2" s="574" t="s">
        <v>343</v>
      </c>
      <c r="L2" s="574"/>
      <c r="M2" s="574"/>
      <c r="N2" s="574"/>
      <c r="O2" s="574"/>
      <c r="P2" s="574"/>
      <c r="Q2" s="574"/>
      <c r="R2" s="574"/>
      <c r="S2" s="574"/>
      <c r="T2" s="574"/>
    </row>
    <row r="3" spans="1:27" ht="14.25" customHeight="1">
      <c r="AA3" s="407"/>
    </row>
    <row r="4" spans="1:27" ht="14.25" customHeight="1">
      <c r="A4" s="590" t="s">
        <v>73</v>
      </c>
      <c r="B4" s="590"/>
      <c r="C4" s="85"/>
      <c r="D4" s="85"/>
      <c r="E4" s="85"/>
      <c r="F4" s="85"/>
      <c r="G4" s="85"/>
      <c r="H4" s="85"/>
      <c r="I4" s="85"/>
      <c r="J4" s="85"/>
      <c r="K4" s="590" t="s">
        <v>73</v>
      </c>
      <c r="L4" s="590"/>
      <c r="M4" s="85"/>
      <c r="N4" s="85"/>
      <c r="O4" s="85"/>
      <c r="P4" s="85"/>
      <c r="Q4" s="85"/>
      <c r="R4" s="85"/>
      <c r="S4" s="85"/>
      <c r="T4" s="85"/>
    </row>
    <row r="5" spans="1:27" ht="14.25" customHeight="1">
      <c r="A5" s="461" t="s">
        <v>11</v>
      </c>
      <c r="B5" s="462" t="s">
        <v>344</v>
      </c>
      <c r="C5" s="85"/>
      <c r="D5" s="85"/>
      <c r="E5" s="85"/>
      <c r="F5" s="85"/>
      <c r="G5" s="85"/>
      <c r="H5" s="85"/>
      <c r="I5" s="85"/>
      <c r="J5" s="85"/>
      <c r="K5" s="461" t="s">
        <v>11</v>
      </c>
      <c r="L5" s="462" t="s">
        <v>344</v>
      </c>
      <c r="M5" s="85"/>
      <c r="N5" s="85"/>
      <c r="O5" s="85"/>
      <c r="P5" s="85"/>
      <c r="Q5" s="85"/>
      <c r="R5" s="85"/>
      <c r="S5" s="85"/>
      <c r="T5" s="85"/>
      <c r="AA5" s="330"/>
    </row>
    <row r="6" spans="1:27" ht="14.25" customHeight="1">
      <c r="A6" s="463" t="s">
        <v>35</v>
      </c>
      <c r="B6" s="464" t="s">
        <v>75</v>
      </c>
      <c r="C6" s="85"/>
      <c r="D6" s="85"/>
      <c r="E6" s="85"/>
      <c r="F6" s="85"/>
      <c r="G6" s="85"/>
      <c r="H6" s="85"/>
      <c r="I6" s="85"/>
      <c r="J6" s="85"/>
      <c r="K6" s="463" t="s">
        <v>35</v>
      </c>
      <c r="L6" s="464" t="s">
        <v>75</v>
      </c>
      <c r="M6" s="85"/>
      <c r="N6" s="85"/>
      <c r="O6" s="85"/>
      <c r="P6" s="85"/>
      <c r="Q6" s="85"/>
      <c r="R6" s="85"/>
      <c r="S6" s="85"/>
      <c r="T6" s="85"/>
      <c r="AA6" s="330"/>
    </row>
    <row r="7" spans="1:27" ht="14.25" customHeight="1">
      <c r="A7" s="463" t="s">
        <v>14</v>
      </c>
      <c r="B7" s="464" t="s">
        <v>265</v>
      </c>
      <c r="C7" s="85"/>
      <c r="D7" s="85"/>
      <c r="E7" s="85"/>
      <c r="F7" s="85"/>
      <c r="G7" s="85"/>
      <c r="H7" s="85"/>
      <c r="I7" s="85"/>
      <c r="J7" s="85"/>
      <c r="K7" s="463" t="s">
        <v>14</v>
      </c>
      <c r="L7" s="464" t="s">
        <v>265</v>
      </c>
      <c r="M7" s="85"/>
      <c r="N7" s="85"/>
      <c r="O7" s="85"/>
      <c r="P7" s="85"/>
      <c r="Q7" s="85"/>
      <c r="R7" s="85"/>
      <c r="S7" s="85"/>
      <c r="T7" s="85"/>
      <c r="AA7" s="330"/>
    </row>
    <row r="8" spans="1:27" ht="14.25" customHeight="1">
      <c r="A8" s="463" t="s">
        <v>16</v>
      </c>
      <c r="B8" s="464" t="s">
        <v>77</v>
      </c>
      <c r="C8" s="85"/>
      <c r="D8" s="85"/>
      <c r="E8" s="85"/>
      <c r="F8" s="85"/>
      <c r="G8" s="85"/>
      <c r="H8" s="85"/>
      <c r="I8" s="85"/>
      <c r="J8" s="85"/>
      <c r="K8" s="463" t="s">
        <v>16</v>
      </c>
      <c r="L8" s="464" t="s">
        <v>77</v>
      </c>
      <c r="M8" s="85"/>
      <c r="N8" s="85"/>
      <c r="O8" s="85"/>
      <c r="P8" s="85"/>
      <c r="Q8" s="85"/>
      <c r="R8" s="85"/>
      <c r="S8" s="85"/>
      <c r="T8" s="85"/>
      <c r="AA8" s="330"/>
    </row>
    <row r="9" spans="1:27" ht="14.25" customHeight="1">
      <c r="A9" s="463" t="s">
        <v>78</v>
      </c>
      <c r="B9" s="464" t="s">
        <v>79</v>
      </c>
      <c r="C9" s="85"/>
      <c r="D9" s="85"/>
      <c r="E9" s="85"/>
      <c r="F9" s="85"/>
      <c r="G9" s="85"/>
      <c r="H9" s="85"/>
      <c r="I9" s="85"/>
      <c r="J9" s="85"/>
      <c r="K9" s="463" t="s">
        <v>78</v>
      </c>
      <c r="L9" s="464" t="s">
        <v>79</v>
      </c>
      <c r="M9" s="85"/>
      <c r="N9" s="85"/>
      <c r="O9" s="85"/>
      <c r="P9" s="85"/>
      <c r="Q9" s="85"/>
      <c r="R9" s="85"/>
      <c r="S9" s="85"/>
      <c r="T9" s="85"/>
      <c r="AA9" s="330"/>
    </row>
    <row r="10" spans="1:27" ht="14.25" customHeight="1">
      <c r="A10" s="465" t="s">
        <v>17</v>
      </c>
      <c r="B10" s="466" t="s">
        <v>268</v>
      </c>
      <c r="C10" s="85"/>
      <c r="D10" s="85"/>
      <c r="E10" s="85"/>
      <c r="F10" s="85"/>
      <c r="G10" s="85"/>
      <c r="H10" s="85"/>
      <c r="I10" s="85"/>
      <c r="J10" s="85"/>
      <c r="K10" s="465" t="s">
        <v>17</v>
      </c>
      <c r="L10" s="466" t="s">
        <v>268</v>
      </c>
      <c r="M10" s="85"/>
      <c r="N10" s="85"/>
      <c r="O10" s="85"/>
      <c r="P10" s="85"/>
      <c r="Q10" s="85"/>
      <c r="R10" s="85"/>
      <c r="S10" s="85"/>
      <c r="T10" s="85"/>
      <c r="AA10" s="366"/>
    </row>
    <row r="11" spans="1:27" ht="14.25" customHeight="1">
      <c r="A11" s="447" t="s">
        <v>18</v>
      </c>
      <c r="B11" s="448" t="s">
        <v>237</v>
      </c>
      <c r="C11" s="355" t="s">
        <v>236</v>
      </c>
      <c r="D11" s="85"/>
      <c r="E11" s="85"/>
      <c r="F11" s="85"/>
      <c r="G11" s="85"/>
      <c r="H11" s="85"/>
      <c r="I11" s="85"/>
      <c r="K11" s="447" t="s">
        <v>18</v>
      </c>
      <c r="L11" s="448" t="s">
        <v>237</v>
      </c>
      <c r="M11" s="355" t="s">
        <v>236</v>
      </c>
    </row>
    <row r="12" spans="1:27" ht="14.25" customHeight="1">
      <c r="AA12" s="366"/>
    </row>
    <row r="13" spans="1:27" ht="14.25" customHeight="1">
      <c r="A13" s="85" t="s">
        <v>318</v>
      </c>
      <c r="B13" s="174">
        <f>Turbinas!F11</f>
        <v>281291</v>
      </c>
      <c r="C13" s="85" t="s">
        <v>345</v>
      </c>
      <c r="D13" s="85"/>
      <c r="E13" s="467"/>
      <c r="F13" s="85"/>
      <c r="G13" s="85"/>
      <c r="H13" s="85"/>
      <c r="I13" s="85"/>
      <c r="J13" s="85"/>
      <c r="K13" s="85" t="s">
        <v>318</v>
      </c>
      <c r="L13" s="174">
        <f>Turbinas!G11</f>
        <v>210170</v>
      </c>
      <c r="M13" s="85" t="s">
        <v>345</v>
      </c>
      <c r="N13" s="85"/>
      <c r="O13" s="467"/>
      <c r="P13" s="85"/>
      <c r="Q13" s="85"/>
      <c r="R13" s="85"/>
      <c r="S13" s="85"/>
      <c r="T13" s="85"/>
      <c r="AA13" s="366"/>
    </row>
    <row r="14" spans="1:27" ht="14.25" customHeight="1">
      <c r="A14" s="85" t="s">
        <v>84</v>
      </c>
      <c r="B14" s="174">
        <f>Turbinas!U11</f>
        <v>0.01</v>
      </c>
      <c r="C14" s="85"/>
      <c r="D14" s="85"/>
      <c r="E14" s="85"/>
      <c r="F14" s="85"/>
      <c r="G14" s="85"/>
      <c r="H14" s="85"/>
      <c r="I14" s="85"/>
      <c r="J14" s="85"/>
      <c r="K14" s="85" t="s">
        <v>84</v>
      </c>
      <c r="L14" s="174">
        <f>Turbinas!V11</f>
        <v>0.01</v>
      </c>
      <c r="M14" s="85"/>
      <c r="N14" s="85"/>
      <c r="O14" s="85"/>
      <c r="P14" s="85"/>
      <c r="Q14" s="85"/>
      <c r="R14" s="85"/>
      <c r="S14" s="85"/>
      <c r="T14" s="85"/>
      <c r="V14">
        <f>(73.96+0.003*25+0.0006*298)*2.2046*0.138</f>
        <v>22.578420600240001</v>
      </c>
      <c r="W14" t="s">
        <v>123</v>
      </c>
      <c r="AA14" s="366"/>
    </row>
    <row r="15" spans="1:27" ht="14.25" customHeight="1">
      <c r="AA15" s="366"/>
    </row>
    <row r="16" spans="1:27" ht="14.25" customHeight="1">
      <c r="AA16" s="366"/>
    </row>
    <row r="17" spans="1:27" ht="14.25" customHeight="1">
      <c r="A17" s="85" t="s">
        <v>85</v>
      </c>
      <c r="B17" s="85"/>
      <c r="C17" s="85"/>
      <c r="D17" s="85"/>
      <c r="E17" s="85"/>
      <c r="F17" s="85"/>
      <c r="G17" s="85"/>
      <c r="H17" s="85"/>
      <c r="I17" s="85"/>
      <c r="J17" s="85"/>
      <c r="K17" s="85" t="s">
        <v>85</v>
      </c>
      <c r="L17" s="85"/>
      <c r="M17" s="85"/>
      <c r="N17" s="85"/>
      <c r="O17" s="85"/>
      <c r="P17" s="85"/>
      <c r="Q17" s="85"/>
      <c r="R17" s="85"/>
      <c r="S17" s="85"/>
      <c r="T17" s="85"/>
      <c r="AA17" s="407"/>
    </row>
    <row r="19" spans="1:27" ht="14.25" customHeight="1">
      <c r="A19" s="108" t="s">
        <v>86</v>
      </c>
      <c r="B19" s="360">
        <v>1.2E-2</v>
      </c>
      <c r="C19" s="349" t="s">
        <v>87</v>
      </c>
      <c r="D19" s="359">
        <f>B13</f>
        <v>281291</v>
      </c>
      <c r="E19" s="349" t="s">
        <v>346</v>
      </c>
      <c r="F19" s="360">
        <v>0.13800000000000001</v>
      </c>
      <c r="G19" s="349" t="s">
        <v>89</v>
      </c>
      <c r="H19" s="360">
        <v>1</v>
      </c>
      <c r="I19" s="436" t="s">
        <v>90</v>
      </c>
      <c r="J19" s="557"/>
      <c r="K19" s="108" t="s">
        <v>86</v>
      </c>
      <c r="L19" s="360">
        <v>1.2E-2</v>
      </c>
      <c r="M19" s="349" t="s">
        <v>87</v>
      </c>
      <c r="N19" s="359">
        <f>L13</f>
        <v>210170</v>
      </c>
      <c r="O19" s="349" t="s">
        <v>346</v>
      </c>
      <c r="P19" s="360">
        <v>0.13800000000000001</v>
      </c>
      <c r="Q19" s="349" t="s">
        <v>89</v>
      </c>
      <c r="R19" s="360">
        <v>1</v>
      </c>
      <c r="S19" s="436" t="s">
        <v>90</v>
      </c>
      <c r="T19" s="557"/>
    </row>
    <row r="20" spans="1:27" ht="14.25" customHeight="1">
      <c r="A20" s="85"/>
      <c r="B20" s="468"/>
      <c r="C20" s="364" t="s">
        <v>89</v>
      </c>
      <c r="D20" s="468"/>
      <c r="E20" s="364" t="s">
        <v>59</v>
      </c>
      <c r="F20" s="468"/>
      <c r="G20" s="364" t="s">
        <v>88</v>
      </c>
      <c r="H20" s="235">
        <v>2000</v>
      </c>
      <c r="I20" s="85" t="s">
        <v>87</v>
      </c>
      <c r="J20" s="557"/>
      <c r="K20" s="85"/>
      <c r="L20" s="468"/>
      <c r="M20" s="364" t="s">
        <v>89</v>
      </c>
      <c r="N20" s="468"/>
      <c r="O20" s="364" t="s">
        <v>59</v>
      </c>
      <c r="P20" s="468"/>
      <c r="Q20" s="364" t="s">
        <v>88</v>
      </c>
      <c r="R20" s="235">
        <v>2000</v>
      </c>
      <c r="S20" s="85" t="s">
        <v>87</v>
      </c>
      <c r="T20" s="557"/>
    </row>
    <row r="21" spans="1:27" ht="14.25" customHeight="1">
      <c r="A21" s="85"/>
      <c r="B21" s="85"/>
      <c r="C21" s="85"/>
      <c r="D21" s="85"/>
      <c r="E21" s="85"/>
      <c r="F21" s="85"/>
      <c r="G21" s="85"/>
      <c r="H21" s="85"/>
      <c r="I21" s="85"/>
      <c r="J21" s="118"/>
      <c r="K21" s="85"/>
      <c r="L21" s="85"/>
      <c r="M21" s="85"/>
      <c r="N21" s="85"/>
      <c r="O21" s="85"/>
      <c r="P21" s="85"/>
      <c r="Q21" s="85"/>
      <c r="R21" s="85"/>
      <c r="S21" s="85"/>
      <c r="T21" s="118"/>
    </row>
    <row r="22" spans="1:27" ht="14.25" customHeight="1">
      <c r="A22" s="108" t="s">
        <v>86</v>
      </c>
      <c r="B22" s="469">
        <f>(B19*D19*F19)/H20</f>
        <v>0.23290894800000003</v>
      </c>
      <c r="C22" s="115" t="s">
        <v>90</v>
      </c>
      <c r="D22" s="85"/>
      <c r="E22" s="85"/>
      <c r="F22" s="85"/>
      <c r="G22" s="85"/>
      <c r="H22" s="85"/>
      <c r="I22" s="85"/>
      <c r="J22" s="118"/>
      <c r="K22" s="108" t="s">
        <v>86</v>
      </c>
      <c r="L22" s="469">
        <f>(L19*N19*P19)/R20</f>
        <v>0.17402076000000002</v>
      </c>
      <c r="M22" s="115" t="s">
        <v>90</v>
      </c>
      <c r="N22" s="85"/>
      <c r="O22" s="85"/>
      <c r="P22" s="85"/>
      <c r="Q22" s="85"/>
      <c r="R22" s="85"/>
      <c r="S22" s="85"/>
      <c r="T22" s="118"/>
    </row>
    <row r="23" spans="1:27" ht="14.25" customHeight="1">
      <c r="A23" s="85"/>
      <c r="B23" s="85"/>
      <c r="C23" s="118" t="s">
        <v>59</v>
      </c>
      <c r="D23" s="85"/>
      <c r="E23" s="85"/>
      <c r="F23" s="85"/>
      <c r="G23" s="85"/>
      <c r="H23" s="85"/>
      <c r="I23" s="85"/>
      <c r="J23" s="118"/>
      <c r="K23" s="85"/>
      <c r="L23" s="85"/>
      <c r="M23" s="118" t="s">
        <v>59</v>
      </c>
      <c r="N23" s="85"/>
      <c r="O23" s="85"/>
      <c r="P23" s="85"/>
      <c r="Q23" s="85"/>
      <c r="R23" s="85"/>
      <c r="S23" s="85"/>
      <c r="T23" s="118"/>
    </row>
    <row r="24" spans="1:27" ht="14.25" customHeight="1">
      <c r="A24" s="85"/>
      <c r="B24" s="85"/>
      <c r="C24" s="85"/>
      <c r="D24" s="85"/>
      <c r="E24" s="85"/>
      <c r="F24" s="85"/>
      <c r="G24" s="85"/>
      <c r="H24" s="85"/>
      <c r="I24" s="85"/>
      <c r="J24" s="118"/>
      <c r="K24" s="85"/>
      <c r="L24" s="85"/>
      <c r="M24" s="85"/>
      <c r="N24" s="85"/>
      <c r="O24" s="85"/>
      <c r="P24" s="85"/>
      <c r="Q24" s="85"/>
      <c r="R24" s="85"/>
      <c r="S24" s="85"/>
      <c r="T24" s="118"/>
    </row>
    <row r="25" spans="1:27" ht="14.25" customHeight="1">
      <c r="A25" s="85"/>
      <c r="B25" s="85"/>
      <c r="C25" s="85"/>
      <c r="D25" s="85"/>
      <c r="E25" s="85"/>
      <c r="F25" s="85"/>
      <c r="G25" s="85"/>
      <c r="H25" s="85"/>
      <c r="I25" s="85"/>
      <c r="J25" s="118"/>
      <c r="K25" s="85"/>
      <c r="L25" s="85"/>
      <c r="M25" s="85"/>
      <c r="N25" s="85"/>
      <c r="O25" s="85"/>
      <c r="P25" s="85"/>
      <c r="Q25" s="85"/>
      <c r="R25" s="85"/>
      <c r="S25" s="85"/>
      <c r="T25" s="118"/>
    </row>
    <row r="26" spans="1:27" ht="14.25" customHeight="1">
      <c r="A26" s="85" t="s">
        <v>93</v>
      </c>
      <c r="B26" s="85"/>
      <c r="C26" s="85"/>
      <c r="D26" s="85"/>
      <c r="E26" s="85"/>
      <c r="F26" s="85"/>
      <c r="G26" s="85"/>
      <c r="H26" s="85"/>
      <c r="I26" s="85"/>
      <c r="J26" s="118"/>
      <c r="K26" s="85" t="s">
        <v>93</v>
      </c>
      <c r="L26" s="85"/>
      <c r="M26" s="85"/>
      <c r="N26" s="85"/>
      <c r="O26" s="85"/>
      <c r="P26" s="85"/>
      <c r="Q26" s="85"/>
      <c r="R26" s="85"/>
      <c r="S26" s="85"/>
      <c r="T26" s="118"/>
    </row>
    <row r="27" spans="1:27" ht="14.25" customHeight="1">
      <c r="A27" s="85"/>
      <c r="B27" s="85"/>
      <c r="C27" s="85"/>
      <c r="D27" s="85"/>
      <c r="E27" s="85"/>
      <c r="F27" s="85"/>
      <c r="G27" s="85"/>
      <c r="H27" s="85"/>
      <c r="I27" s="85"/>
      <c r="J27" s="118"/>
      <c r="K27" s="85"/>
      <c r="L27" s="85"/>
      <c r="M27" s="85"/>
      <c r="N27" s="85"/>
      <c r="O27" s="85"/>
      <c r="P27" s="85"/>
      <c r="Q27" s="85"/>
      <c r="R27" s="85"/>
      <c r="S27" s="85"/>
      <c r="T27" s="118"/>
    </row>
    <row r="28" spans="1:27" ht="14.25" customHeight="1">
      <c r="A28" s="108" t="s">
        <v>86</v>
      </c>
      <c r="B28" s="368">
        <f>1.01*B14</f>
        <v>1.01E-2</v>
      </c>
      <c r="C28" s="349" t="s">
        <v>87</v>
      </c>
      <c r="D28" s="359">
        <f>B13</f>
        <v>281291</v>
      </c>
      <c r="E28" s="349" t="s">
        <v>346</v>
      </c>
      <c r="F28" s="360">
        <v>0.13800000000000001</v>
      </c>
      <c r="G28" s="349" t="s">
        <v>89</v>
      </c>
      <c r="H28" s="360">
        <v>1</v>
      </c>
      <c r="I28" s="436" t="s">
        <v>90</v>
      </c>
      <c r="J28" s="557"/>
      <c r="K28" s="108" t="s">
        <v>86</v>
      </c>
      <c r="L28" s="368">
        <f>1.01*L14</f>
        <v>1.01E-2</v>
      </c>
      <c r="M28" s="349" t="s">
        <v>87</v>
      </c>
      <c r="N28" s="359">
        <f>L13</f>
        <v>210170</v>
      </c>
      <c r="O28" s="349" t="s">
        <v>346</v>
      </c>
      <c r="P28" s="360">
        <v>0.13800000000000001</v>
      </c>
      <c r="Q28" s="349" t="s">
        <v>89</v>
      </c>
      <c r="R28" s="360">
        <v>1</v>
      </c>
      <c r="S28" s="436" t="s">
        <v>90</v>
      </c>
      <c r="T28" s="557"/>
    </row>
    <row r="29" spans="1:27" ht="14.25" customHeight="1">
      <c r="A29" s="85"/>
      <c r="B29" s="468"/>
      <c r="C29" s="364" t="s">
        <v>89</v>
      </c>
      <c r="D29" s="468"/>
      <c r="E29" s="364" t="s">
        <v>59</v>
      </c>
      <c r="F29" s="468"/>
      <c r="G29" s="364" t="s">
        <v>88</v>
      </c>
      <c r="H29" s="235">
        <v>2000</v>
      </c>
      <c r="I29" s="85" t="s">
        <v>87</v>
      </c>
      <c r="J29" s="557"/>
      <c r="K29" s="85"/>
      <c r="L29" s="468"/>
      <c r="M29" s="364" t="s">
        <v>89</v>
      </c>
      <c r="N29" s="468"/>
      <c r="O29" s="364" t="s">
        <v>59</v>
      </c>
      <c r="P29" s="468"/>
      <c r="Q29" s="364" t="s">
        <v>88</v>
      </c>
      <c r="R29" s="235">
        <v>2000</v>
      </c>
      <c r="S29" s="85" t="s">
        <v>87</v>
      </c>
      <c r="T29" s="557"/>
    </row>
    <row r="30" spans="1:27" ht="14.25" customHeight="1">
      <c r="A30" s="85"/>
      <c r="B30" s="85"/>
      <c r="C30" s="85"/>
      <c r="D30" s="85"/>
      <c r="E30" s="85"/>
      <c r="F30" s="85"/>
      <c r="G30" s="85"/>
      <c r="H30" s="85"/>
      <c r="I30" s="85"/>
      <c r="J30" s="118"/>
      <c r="K30" s="85"/>
      <c r="L30" s="85"/>
      <c r="M30" s="85"/>
      <c r="N30" s="85"/>
      <c r="O30" s="85"/>
      <c r="P30" s="85"/>
      <c r="Q30" s="85"/>
      <c r="R30" s="85"/>
      <c r="S30" s="85"/>
      <c r="T30" s="118"/>
    </row>
    <row r="31" spans="1:27" ht="14.25" customHeight="1">
      <c r="A31" s="108" t="s">
        <v>86</v>
      </c>
      <c r="B31" s="470">
        <f>(B28*D28*F28)/H29</f>
        <v>0.19603169790000002</v>
      </c>
      <c r="C31" s="115" t="s">
        <v>90</v>
      </c>
      <c r="D31" s="85"/>
      <c r="E31" s="85"/>
      <c r="F31" s="85"/>
      <c r="G31" s="85"/>
      <c r="H31" s="85"/>
      <c r="I31" s="85"/>
      <c r="J31" s="118"/>
      <c r="K31" s="108" t="s">
        <v>86</v>
      </c>
      <c r="L31" s="470">
        <f>(L28*N28*P28)/R29</f>
        <v>0.14646747300000001</v>
      </c>
      <c r="M31" s="115" t="s">
        <v>90</v>
      </c>
      <c r="N31" s="85"/>
      <c r="O31" s="85"/>
      <c r="P31" s="85"/>
      <c r="Q31" s="85"/>
      <c r="R31" s="85"/>
      <c r="S31" s="85"/>
      <c r="T31" s="118"/>
    </row>
    <row r="32" spans="1:27" ht="14.25" customHeight="1">
      <c r="A32" s="85"/>
      <c r="B32" s="85"/>
      <c r="C32" s="118" t="s">
        <v>59</v>
      </c>
      <c r="D32" s="85"/>
      <c r="E32" s="85"/>
      <c r="F32" s="85"/>
      <c r="G32" s="85"/>
      <c r="H32" s="85"/>
      <c r="I32" s="85"/>
      <c r="J32" s="118"/>
      <c r="K32" s="85"/>
      <c r="L32" s="85"/>
      <c r="M32" s="118" t="s">
        <v>59</v>
      </c>
      <c r="N32" s="85"/>
      <c r="O32" s="85"/>
      <c r="P32" s="85"/>
      <c r="Q32" s="85"/>
      <c r="R32" s="85"/>
      <c r="S32" s="85"/>
      <c r="T32" s="118"/>
    </row>
    <row r="33" spans="1:20" ht="14.25" customHeight="1">
      <c r="A33" s="85"/>
      <c r="B33" s="85"/>
      <c r="C33" s="85"/>
      <c r="D33" s="85"/>
      <c r="E33" s="85"/>
      <c r="F33" s="85"/>
      <c r="G33" s="85"/>
      <c r="H33" s="85"/>
      <c r="I33" s="85"/>
      <c r="J33" s="118"/>
      <c r="K33" s="85"/>
      <c r="L33" s="85"/>
      <c r="M33" s="85"/>
      <c r="N33" s="85"/>
      <c r="O33" s="85"/>
      <c r="P33" s="85"/>
      <c r="Q33" s="85"/>
      <c r="R33" s="85"/>
      <c r="S33" s="85"/>
      <c r="T33" s="118"/>
    </row>
    <row r="34" spans="1:20" ht="14.25" customHeight="1">
      <c r="A34" s="85"/>
      <c r="B34" s="85"/>
      <c r="C34" s="85"/>
      <c r="D34" s="85"/>
      <c r="E34" s="85"/>
      <c r="F34" s="85"/>
      <c r="G34" s="85"/>
      <c r="H34" s="85"/>
      <c r="I34" s="85"/>
      <c r="J34" s="118"/>
      <c r="K34" s="85"/>
      <c r="L34" s="85"/>
      <c r="M34" s="85"/>
      <c r="N34" s="85"/>
      <c r="O34" s="85"/>
      <c r="P34" s="85"/>
      <c r="Q34" s="85"/>
      <c r="R34" s="85"/>
      <c r="S34" s="85"/>
      <c r="T34" s="118"/>
    </row>
    <row r="35" spans="1:20" ht="14.25" customHeight="1">
      <c r="A35" s="85" t="s">
        <v>94</v>
      </c>
      <c r="B35" s="85"/>
      <c r="C35" s="85"/>
      <c r="D35" s="85"/>
      <c r="E35" s="85"/>
      <c r="F35" s="85"/>
      <c r="G35" s="85"/>
      <c r="H35" s="85"/>
      <c r="I35" s="85"/>
      <c r="J35" s="118"/>
      <c r="K35" s="85" t="s">
        <v>94</v>
      </c>
      <c r="L35" s="85"/>
      <c r="M35" s="85"/>
      <c r="N35" s="85"/>
      <c r="O35" s="85"/>
      <c r="P35" s="85"/>
      <c r="Q35" s="85"/>
      <c r="R35" s="85"/>
      <c r="S35" s="85"/>
      <c r="T35" s="118"/>
    </row>
    <row r="36" spans="1:20" ht="14.25" customHeight="1">
      <c r="A36" s="85"/>
      <c r="B36" s="85"/>
      <c r="C36" s="85"/>
      <c r="D36" s="85"/>
      <c r="E36" s="85"/>
      <c r="F36" s="85"/>
      <c r="G36" s="85"/>
      <c r="H36" s="85"/>
      <c r="I36" s="85"/>
      <c r="J36" s="118"/>
      <c r="K36" s="85"/>
      <c r="L36" s="85"/>
      <c r="M36" s="85"/>
      <c r="N36" s="85"/>
      <c r="O36" s="85"/>
      <c r="P36" s="85"/>
      <c r="Q36" s="85"/>
      <c r="R36" s="85"/>
      <c r="S36" s="85"/>
      <c r="T36" s="118"/>
    </row>
    <row r="37" spans="1:20" ht="14.25" customHeight="1">
      <c r="A37" s="108" t="s">
        <v>86</v>
      </c>
      <c r="B37" s="360">
        <v>0.88</v>
      </c>
      <c r="C37" s="349" t="s">
        <v>87</v>
      </c>
      <c r="D37" s="359">
        <f>B13</f>
        <v>281291</v>
      </c>
      <c r="E37" s="349" t="s">
        <v>346</v>
      </c>
      <c r="F37" s="360">
        <v>0.13800000000000001</v>
      </c>
      <c r="G37" s="349" t="s">
        <v>89</v>
      </c>
      <c r="H37" s="360">
        <v>1</v>
      </c>
      <c r="I37" s="436" t="s">
        <v>90</v>
      </c>
      <c r="J37" s="557"/>
      <c r="K37" s="108" t="s">
        <v>86</v>
      </c>
      <c r="L37" s="360">
        <v>0.88</v>
      </c>
      <c r="M37" s="349" t="s">
        <v>87</v>
      </c>
      <c r="N37" s="359">
        <f>L13</f>
        <v>210170</v>
      </c>
      <c r="O37" s="349" t="s">
        <v>346</v>
      </c>
      <c r="P37" s="360">
        <v>0.13800000000000001</v>
      </c>
      <c r="Q37" s="349" t="s">
        <v>89</v>
      </c>
      <c r="R37" s="360">
        <v>1</v>
      </c>
      <c r="S37" s="436" t="s">
        <v>90</v>
      </c>
      <c r="T37" s="557"/>
    </row>
    <row r="38" spans="1:20" ht="14.25" customHeight="1">
      <c r="A38" s="85"/>
      <c r="B38" s="468"/>
      <c r="C38" s="364" t="s">
        <v>89</v>
      </c>
      <c r="D38" s="468"/>
      <c r="E38" s="364" t="s">
        <v>59</v>
      </c>
      <c r="F38" s="468"/>
      <c r="G38" s="364" t="s">
        <v>88</v>
      </c>
      <c r="H38" s="235">
        <v>2000</v>
      </c>
      <c r="I38" s="85" t="s">
        <v>87</v>
      </c>
      <c r="J38" s="557"/>
      <c r="K38" s="85"/>
      <c r="L38" s="468"/>
      <c r="M38" s="364" t="s">
        <v>89</v>
      </c>
      <c r="N38" s="468"/>
      <c r="O38" s="364" t="s">
        <v>59</v>
      </c>
      <c r="P38" s="468"/>
      <c r="Q38" s="364" t="s">
        <v>88</v>
      </c>
      <c r="R38" s="235">
        <v>2000</v>
      </c>
      <c r="S38" s="85" t="s">
        <v>87</v>
      </c>
      <c r="T38" s="557"/>
    </row>
    <row r="39" spans="1:20" ht="14.25" customHeight="1">
      <c r="A39" s="85"/>
      <c r="B39" s="85"/>
      <c r="C39" s="85"/>
      <c r="D39" s="85"/>
      <c r="E39" s="85"/>
      <c r="F39" s="85"/>
      <c r="G39" s="85"/>
      <c r="H39" s="85"/>
      <c r="I39" s="85"/>
      <c r="J39" s="118"/>
      <c r="K39" s="85"/>
      <c r="L39" s="85"/>
      <c r="M39" s="85"/>
      <c r="N39" s="85"/>
      <c r="O39" s="85"/>
      <c r="P39" s="85"/>
      <c r="Q39" s="85"/>
      <c r="R39" s="85"/>
      <c r="S39" s="85"/>
      <c r="T39" s="118"/>
    </row>
    <row r="40" spans="1:20" ht="14.25" customHeight="1">
      <c r="A40" s="108" t="s">
        <v>86</v>
      </c>
      <c r="B40" s="471">
        <f>(B37*D37*F37)/H38</f>
        <v>17.079989519999998</v>
      </c>
      <c r="C40" s="115" t="s">
        <v>90</v>
      </c>
      <c r="D40" s="85"/>
      <c r="E40" s="85"/>
      <c r="F40" s="85"/>
      <c r="G40" s="85"/>
      <c r="H40" s="85"/>
      <c r="I40" s="85"/>
      <c r="J40" s="118"/>
      <c r="K40" s="108" t="s">
        <v>86</v>
      </c>
      <c r="L40" s="471">
        <f>(L37*N37*P37)/R38</f>
        <v>12.761522400000002</v>
      </c>
      <c r="M40" s="115" t="s">
        <v>90</v>
      </c>
      <c r="N40" s="85"/>
      <c r="O40" s="85"/>
      <c r="P40" s="85"/>
      <c r="Q40" s="85"/>
      <c r="R40" s="85"/>
      <c r="S40" s="85"/>
      <c r="T40" s="118"/>
    </row>
    <row r="41" spans="1:20" ht="14.25" customHeight="1">
      <c r="A41" s="85"/>
      <c r="B41" s="85"/>
      <c r="C41" s="118" t="s">
        <v>59</v>
      </c>
      <c r="D41" s="85"/>
      <c r="E41" s="85"/>
      <c r="F41" s="85"/>
      <c r="G41" s="85"/>
      <c r="H41" s="85"/>
      <c r="I41" s="85"/>
      <c r="J41" s="118"/>
      <c r="K41" s="85"/>
      <c r="L41" s="85"/>
      <c r="M41" s="118" t="s">
        <v>59</v>
      </c>
      <c r="N41" s="85"/>
      <c r="O41" s="85"/>
      <c r="P41" s="85"/>
      <c r="Q41" s="85"/>
      <c r="R41" s="85"/>
      <c r="S41" s="85"/>
      <c r="T41" s="118"/>
    </row>
    <row r="42" spans="1:20" ht="14.25" customHeight="1">
      <c r="A42" s="85"/>
      <c r="B42" s="85"/>
      <c r="C42" s="85"/>
      <c r="D42" s="85"/>
      <c r="E42" s="85"/>
      <c r="F42" s="85"/>
      <c r="G42" s="85"/>
      <c r="H42" s="85"/>
      <c r="I42" s="85"/>
      <c r="J42" s="118"/>
      <c r="K42" s="85"/>
      <c r="L42" s="85"/>
      <c r="M42" s="85"/>
      <c r="N42" s="85"/>
      <c r="O42" s="85"/>
      <c r="P42" s="85"/>
      <c r="Q42" s="85"/>
      <c r="R42" s="85"/>
      <c r="S42" s="85"/>
      <c r="T42" s="118"/>
    </row>
    <row r="43" spans="1:20" ht="14.25" customHeight="1">
      <c r="A43" s="85"/>
      <c r="B43" s="85"/>
      <c r="C43" s="85"/>
      <c r="D43" s="85"/>
      <c r="E43" s="85"/>
      <c r="F43" s="85"/>
      <c r="G43" s="85"/>
      <c r="H43" s="85"/>
      <c r="I43" s="85"/>
      <c r="J43" s="118"/>
      <c r="K43" s="85"/>
      <c r="L43" s="85"/>
      <c r="M43" s="85"/>
      <c r="N43" s="85"/>
      <c r="O43" s="85"/>
      <c r="P43" s="85"/>
      <c r="Q43" s="85"/>
      <c r="R43" s="85"/>
      <c r="S43" s="85"/>
      <c r="T43" s="118"/>
    </row>
    <row r="44" spans="1:20" ht="14.25" customHeight="1">
      <c r="A44" s="85" t="s">
        <v>95</v>
      </c>
      <c r="B44" s="85"/>
      <c r="C44" s="85"/>
      <c r="D44" s="85"/>
      <c r="E44" s="85"/>
      <c r="F44" s="85"/>
      <c r="G44" s="85"/>
      <c r="H44" s="85"/>
      <c r="I44" s="85"/>
      <c r="J44" s="118"/>
      <c r="K44" s="85" t="s">
        <v>95</v>
      </c>
      <c r="L44" s="85"/>
      <c r="M44" s="85"/>
      <c r="N44" s="85"/>
      <c r="O44" s="85"/>
      <c r="P44" s="85"/>
      <c r="Q44" s="85"/>
      <c r="R44" s="85"/>
      <c r="S44" s="85"/>
      <c r="T44" s="118"/>
    </row>
    <row r="45" spans="1:20" ht="14.25" customHeight="1">
      <c r="A45" s="85"/>
      <c r="B45" s="85"/>
      <c r="C45" s="85"/>
      <c r="D45" s="85"/>
      <c r="E45" s="85"/>
      <c r="F45" s="85"/>
      <c r="G45" s="85"/>
      <c r="H45" s="85"/>
      <c r="I45" s="85"/>
      <c r="J45" s="118"/>
      <c r="K45" s="85"/>
      <c r="L45" s="85"/>
      <c r="M45" s="85"/>
      <c r="N45" s="85"/>
      <c r="O45" s="85"/>
      <c r="P45" s="85"/>
      <c r="Q45" s="85"/>
      <c r="R45" s="85"/>
      <c r="S45" s="85"/>
      <c r="T45" s="118"/>
    </row>
    <row r="46" spans="1:20" ht="14.25" customHeight="1">
      <c r="A46" s="108" t="s">
        <v>86</v>
      </c>
      <c r="B46" s="360">
        <v>4.0999999999999999E-4</v>
      </c>
      <c r="C46" s="349" t="s">
        <v>87</v>
      </c>
      <c r="D46" s="359">
        <f>B13</f>
        <v>281291</v>
      </c>
      <c r="E46" s="349" t="s">
        <v>346</v>
      </c>
      <c r="F46" s="360">
        <v>0.13800000000000001</v>
      </c>
      <c r="G46" s="349" t="s">
        <v>89</v>
      </c>
      <c r="H46" s="360">
        <v>1</v>
      </c>
      <c r="I46" s="436" t="s">
        <v>90</v>
      </c>
      <c r="J46" s="557"/>
      <c r="K46" s="108" t="s">
        <v>86</v>
      </c>
      <c r="L46" s="360">
        <v>4.0999999999999999E-4</v>
      </c>
      <c r="M46" s="349" t="s">
        <v>87</v>
      </c>
      <c r="N46" s="359">
        <f>L13</f>
        <v>210170</v>
      </c>
      <c r="O46" s="349" t="s">
        <v>346</v>
      </c>
      <c r="P46" s="360">
        <v>0.13800000000000001</v>
      </c>
      <c r="Q46" s="349" t="s">
        <v>89</v>
      </c>
      <c r="R46" s="360">
        <v>1</v>
      </c>
      <c r="S46" s="436" t="s">
        <v>90</v>
      </c>
      <c r="T46" s="557"/>
    </row>
    <row r="47" spans="1:20" ht="14.25" customHeight="1">
      <c r="A47" s="85"/>
      <c r="C47" s="364" t="s">
        <v>89</v>
      </c>
      <c r="D47" s="468"/>
      <c r="E47" s="364" t="s">
        <v>59</v>
      </c>
      <c r="F47" s="468"/>
      <c r="G47" s="364" t="s">
        <v>88</v>
      </c>
      <c r="H47" s="235">
        <v>2000</v>
      </c>
      <c r="I47" s="85" t="s">
        <v>87</v>
      </c>
      <c r="J47" s="557"/>
      <c r="K47" s="85"/>
      <c r="L47" s="468"/>
      <c r="M47" s="364" t="s">
        <v>89</v>
      </c>
      <c r="N47" s="468"/>
      <c r="O47" s="364" t="s">
        <v>59</v>
      </c>
      <c r="P47" s="468"/>
      <c r="Q47" s="364" t="s">
        <v>88</v>
      </c>
      <c r="R47" s="235">
        <v>2000</v>
      </c>
      <c r="S47" s="85" t="s">
        <v>87</v>
      </c>
      <c r="T47" s="557"/>
    </row>
    <row r="48" spans="1:20" ht="14.25" customHeight="1">
      <c r="A48" s="85"/>
      <c r="B48" s="85"/>
      <c r="C48" s="85"/>
      <c r="D48" s="85"/>
      <c r="E48" s="85"/>
      <c r="F48" s="85"/>
      <c r="G48" s="85"/>
      <c r="H48" s="85"/>
      <c r="I48" s="85"/>
      <c r="J48" s="118"/>
      <c r="K48" s="85"/>
      <c r="L48" s="85"/>
      <c r="M48" s="85"/>
      <c r="N48" s="85"/>
      <c r="O48" s="85"/>
      <c r="P48" s="85"/>
      <c r="Q48" s="85"/>
      <c r="R48" s="85"/>
      <c r="S48" s="85"/>
      <c r="T48" s="118"/>
    </row>
    <row r="49" spans="1:20" ht="14.25" customHeight="1">
      <c r="A49" s="108" t="s">
        <v>86</v>
      </c>
      <c r="B49" s="470">
        <f>(B46*D46*F46)/H47</f>
        <v>7.9577223899999997E-3</v>
      </c>
      <c r="C49" s="115" t="s">
        <v>90</v>
      </c>
      <c r="D49" s="85"/>
      <c r="E49" s="85"/>
      <c r="F49" s="85"/>
      <c r="G49" s="85"/>
      <c r="H49" s="85"/>
      <c r="I49" s="85"/>
      <c r="J49" s="118"/>
      <c r="K49" s="108" t="s">
        <v>86</v>
      </c>
      <c r="L49" s="470">
        <f>(L46*N46*P46)/R47</f>
        <v>5.9457093000000001E-3</v>
      </c>
      <c r="M49" s="115" t="s">
        <v>90</v>
      </c>
      <c r="N49" s="85"/>
      <c r="O49" s="85"/>
      <c r="P49" s="85"/>
      <c r="Q49" s="85"/>
      <c r="R49" s="85"/>
      <c r="S49" s="85"/>
      <c r="T49" s="118"/>
    </row>
    <row r="50" spans="1:20" ht="14.25" customHeight="1">
      <c r="A50" s="85"/>
      <c r="B50" s="85"/>
      <c r="C50" s="118" t="s">
        <v>59</v>
      </c>
      <c r="D50" s="85"/>
      <c r="E50" s="85"/>
      <c r="F50" s="85"/>
      <c r="G50" s="85"/>
      <c r="H50" s="85"/>
      <c r="I50" s="85"/>
      <c r="J50" s="118"/>
      <c r="K50" s="85"/>
      <c r="L50" s="85"/>
      <c r="M50" s="118" t="s">
        <v>59</v>
      </c>
      <c r="N50" s="85"/>
      <c r="O50" s="85"/>
      <c r="P50" s="85"/>
      <c r="Q50" s="85"/>
      <c r="R50" s="85"/>
      <c r="S50" s="85"/>
      <c r="T50" s="118"/>
    </row>
    <row r="51" spans="1:20" ht="14.25" customHeight="1">
      <c r="A51" s="85"/>
      <c r="B51" s="85"/>
      <c r="C51" s="118"/>
      <c r="D51" s="85"/>
      <c r="E51" s="85"/>
      <c r="F51" s="85"/>
      <c r="G51" s="85"/>
      <c r="H51" s="85"/>
      <c r="I51" s="85"/>
      <c r="J51" s="118"/>
      <c r="K51" s="85"/>
      <c r="L51" s="85"/>
      <c r="M51" s="118"/>
      <c r="N51" s="85"/>
      <c r="O51" s="85"/>
      <c r="P51" s="85"/>
      <c r="Q51" s="85"/>
      <c r="R51" s="85"/>
      <c r="S51" s="85"/>
      <c r="T51" s="118"/>
    </row>
    <row r="52" spans="1:20" ht="14.25" customHeight="1">
      <c r="A52" s="85"/>
      <c r="B52" s="85"/>
      <c r="C52" s="118"/>
      <c r="D52" s="85"/>
      <c r="E52" s="85"/>
      <c r="F52" s="85"/>
      <c r="G52" s="85"/>
      <c r="H52" s="85"/>
      <c r="I52" s="85"/>
      <c r="J52" s="118"/>
      <c r="K52" s="85"/>
      <c r="L52" s="85"/>
      <c r="M52" s="118"/>
      <c r="N52" s="85"/>
      <c r="O52" s="85"/>
      <c r="P52" s="85"/>
      <c r="Q52" s="85"/>
      <c r="R52" s="85"/>
      <c r="S52" s="85"/>
      <c r="T52" s="118"/>
    </row>
    <row r="53" spans="1:20" ht="14.25" customHeight="1">
      <c r="A53" s="85"/>
      <c r="B53" s="85"/>
      <c r="C53" s="118"/>
      <c r="D53" s="85"/>
      <c r="E53" s="85"/>
      <c r="F53" s="85"/>
      <c r="G53" s="85"/>
      <c r="H53" s="85"/>
      <c r="I53" s="85"/>
      <c r="J53" s="118"/>
      <c r="K53" s="85"/>
      <c r="L53" s="85"/>
      <c r="M53" s="118"/>
      <c r="N53" s="85"/>
      <c r="O53" s="85"/>
      <c r="P53" s="85"/>
      <c r="Q53" s="85"/>
      <c r="R53" s="85"/>
      <c r="S53" s="85"/>
      <c r="T53" s="118"/>
    </row>
    <row r="54" spans="1:20" ht="14.25" customHeight="1">
      <c r="A54" s="85"/>
      <c r="B54" s="85"/>
      <c r="C54" s="118"/>
      <c r="D54" s="85"/>
      <c r="E54" s="85"/>
      <c r="F54" s="85"/>
      <c r="G54" s="85"/>
      <c r="H54" s="85"/>
      <c r="I54" s="85"/>
      <c r="J54" s="118"/>
      <c r="K54" s="85"/>
      <c r="L54" s="85"/>
      <c r="M54" s="118"/>
      <c r="N54" s="85"/>
      <c r="O54" s="85"/>
      <c r="P54" s="85"/>
      <c r="Q54" s="85"/>
      <c r="R54" s="85"/>
      <c r="S54" s="85"/>
      <c r="T54" s="118"/>
    </row>
    <row r="55" spans="1:20" ht="14.25" customHeight="1">
      <c r="A55" s="85"/>
      <c r="B55" s="85"/>
      <c r="C55" s="85"/>
      <c r="D55" s="85"/>
      <c r="E55" s="85"/>
      <c r="F55" s="85"/>
      <c r="G55" s="85"/>
      <c r="H55" s="85"/>
      <c r="I55" s="85"/>
      <c r="J55" s="118"/>
      <c r="K55" s="85"/>
      <c r="L55" s="85"/>
      <c r="M55" s="85"/>
      <c r="N55" s="85"/>
      <c r="O55" s="85"/>
      <c r="P55" s="85"/>
      <c r="Q55" s="85"/>
      <c r="R55" s="85"/>
      <c r="S55" s="85"/>
      <c r="T55" s="118"/>
    </row>
    <row r="56" spans="1:20" ht="14.25" customHeight="1">
      <c r="A56" s="85"/>
      <c r="B56" s="85"/>
      <c r="C56" s="85"/>
      <c r="D56" s="85"/>
      <c r="E56" s="85"/>
      <c r="F56" s="85"/>
      <c r="G56" s="85"/>
      <c r="H56" s="85"/>
      <c r="I56" s="85"/>
      <c r="J56" s="118"/>
      <c r="K56" s="85"/>
      <c r="L56" s="85"/>
      <c r="M56" s="85"/>
      <c r="N56" s="85"/>
      <c r="O56" s="85"/>
      <c r="P56" s="85"/>
      <c r="Q56" s="85"/>
      <c r="R56" s="85"/>
      <c r="S56" s="85"/>
      <c r="T56" s="118"/>
    </row>
    <row r="57" spans="1:20" ht="14.25" customHeight="1">
      <c r="A57" s="85" t="s">
        <v>96</v>
      </c>
      <c r="B57" s="85"/>
      <c r="C57" s="85"/>
      <c r="D57" s="85"/>
      <c r="E57" s="85"/>
      <c r="F57" s="85"/>
      <c r="G57" s="85"/>
      <c r="H57" s="85"/>
      <c r="I57" s="85"/>
      <c r="J57" s="118"/>
      <c r="K57" s="85" t="s">
        <v>96</v>
      </c>
      <c r="L57" s="85"/>
      <c r="M57" s="85"/>
      <c r="N57" s="85"/>
      <c r="O57" s="85"/>
      <c r="P57" s="85"/>
      <c r="Q57" s="85"/>
      <c r="R57" s="85"/>
      <c r="S57" s="85"/>
      <c r="T57" s="118"/>
    </row>
    <row r="58" spans="1:20" ht="14.25" customHeight="1">
      <c r="A58" s="85"/>
      <c r="B58" s="85"/>
      <c r="C58" s="85"/>
      <c r="D58" s="85"/>
      <c r="E58" s="85"/>
      <c r="F58" s="85"/>
      <c r="G58" s="85"/>
      <c r="H58" s="85"/>
      <c r="I58" s="85"/>
      <c r="J58" s="118"/>
      <c r="K58" s="85"/>
      <c r="L58" s="85"/>
      <c r="M58" s="85"/>
      <c r="N58" s="85"/>
      <c r="O58" s="85"/>
      <c r="P58" s="85"/>
      <c r="Q58" s="85"/>
      <c r="R58" s="85"/>
      <c r="S58" s="85"/>
      <c r="T58" s="118"/>
    </row>
    <row r="59" spans="1:20" ht="14.25" customHeight="1">
      <c r="A59" s="108" t="s">
        <v>86</v>
      </c>
      <c r="B59" s="360">
        <v>3.3E-3</v>
      </c>
      <c r="C59" s="349" t="s">
        <v>87</v>
      </c>
      <c r="D59" s="359">
        <f>B13</f>
        <v>281291</v>
      </c>
      <c r="E59" s="349" t="s">
        <v>346</v>
      </c>
      <c r="F59" s="360">
        <v>0.13800000000000001</v>
      </c>
      <c r="G59" s="349" t="s">
        <v>89</v>
      </c>
      <c r="H59" s="360">
        <v>1</v>
      </c>
      <c r="I59" s="436" t="s">
        <v>90</v>
      </c>
      <c r="J59" s="557"/>
      <c r="K59" s="108" t="s">
        <v>86</v>
      </c>
      <c r="L59" s="360">
        <v>3.3E-3</v>
      </c>
      <c r="M59" s="349" t="s">
        <v>87</v>
      </c>
      <c r="N59" s="359">
        <f>L13</f>
        <v>210170</v>
      </c>
      <c r="O59" s="349" t="s">
        <v>346</v>
      </c>
      <c r="P59" s="360">
        <v>0.13800000000000001</v>
      </c>
      <c r="Q59" s="349" t="s">
        <v>89</v>
      </c>
      <c r="R59" s="360">
        <v>1</v>
      </c>
      <c r="S59" s="436" t="s">
        <v>90</v>
      </c>
      <c r="T59" s="557"/>
    </row>
    <row r="60" spans="1:20" ht="14.25" customHeight="1">
      <c r="A60" s="85"/>
      <c r="B60" s="468"/>
      <c r="C60" s="364" t="s">
        <v>89</v>
      </c>
      <c r="D60" s="468"/>
      <c r="E60" s="364" t="s">
        <v>59</v>
      </c>
      <c r="F60" s="468"/>
      <c r="G60" s="364" t="s">
        <v>88</v>
      </c>
      <c r="H60" s="235">
        <v>2000</v>
      </c>
      <c r="I60" s="85" t="s">
        <v>87</v>
      </c>
      <c r="J60" s="557"/>
      <c r="K60" s="85"/>
      <c r="L60" s="468"/>
      <c r="M60" s="364" t="s">
        <v>89</v>
      </c>
      <c r="N60" s="468"/>
      <c r="O60" s="364" t="s">
        <v>59</v>
      </c>
      <c r="P60" s="468"/>
      <c r="Q60" s="364" t="s">
        <v>88</v>
      </c>
      <c r="R60" s="235">
        <v>2000</v>
      </c>
      <c r="S60" s="85" t="s">
        <v>87</v>
      </c>
      <c r="T60" s="557"/>
    </row>
    <row r="61" spans="1:20" ht="14.25" customHeight="1">
      <c r="A61" s="85"/>
      <c r="B61" s="85"/>
      <c r="C61" s="85"/>
      <c r="D61" s="85"/>
      <c r="E61" s="85"/>
      <c r="F61" s="85"/>
      <c r="G61" s="85"/>
      <c r="H61" s="85"/>
      <c r="I61" s="85"/>
      <c r="J61" s="118"/>
      <c r="K61" s="85"/>
      <c r="L61" s="85"/>
      <c r="M61" s="85"/>
      <c r="N61" s="85"/>
      <c r="O61" s="85"/>
      <c r="P61" s="85"/>
      <c r="Q61" s="85"/>
      <c r="R61" s="85"/>
      <c r="S61" s="85"/>
      <c r="T61" s="118"/>
    </row>
    <row r="62" spans="1:20" ht="14.25" customHeight="1">
      <c r="A62" s="108" t="s">
        <v>86</v>
      </c>
      <c r="B62" s="470">
        <f>(B59*D59*F59)/H60</f>
        <v>6.4049960700000019E-2</v>
      </c>
      <c r="C62" s="115" t="s">
        <v>90</v>
      </c>
      <c r="D62" s="85"/>
      <c r="E62" s="85"/>
      <c r="F62" s="85"/>
      <c r="G62" s="85"/>
      <c r="H62" s="85"/>
      <c r="I62" s="85"/>
      <c r="J62" s="118"/>
      <c r="K62" s="108" t="s">
        <v>86</v>
      </c>
      <c r="L62" s="470">
        <f>(L59*N59*P59)/R60</f>
        <v>4.7855709000000003E-2</v>
      </c>
      <c r="M62" s="115" t="s">
        <v>90</v>
      </c>
      <c r="N62" s="85"/>
      <c r="O62" s="85"/>
      <c r="P62" s="85"/>
      <c r="Q62" s="85"/>
      <c r="R62" s="85"/>
      <c r="S62" s="85"/>
      <c r="T62" s="118"/>
    </row>
    <row r="63" spans="1:20" ht="14.25" customHeight="1">
      <c r="A63" s="85"/>
      <c r="B63" s="85"/>
      <c r="C63" s="118" t="s">
        <v>59</v>
      </c>
      <c r="D63" s="85"/>
      <c r="E63" s="85"/>
      <c r="F63" s="85"/>
      <c r="G63" s="85"/>
      <c r="H63" s="85"/>
      <c r="I63" s="85"/>
      <c r="J63" s="118"/>
      <c r="K63" s="85"/>
      <c r="L63" s="85"/>
      <c r="M63" s="118" t="s">
        <v>59</v>
      </c>
      <c r="N63" s="85"/>
      <c r="O63" s="85"/>
      <c r="P63" s="85"/>
      <c r="Q63" s="85"/>
      <c r="R63" s="85"/>
      <c r="S63" s="85"/>
      <c r="T63" s="118"/>
    </row>
    <row r="64" spans="1:20" ht="14.25" customHeight="1">
      <c r="A64" s="85"/>
      <c r="B64" s="85"/>
      <c r="C64" s="85"/>
      <c r="D64" s="85"/>
      <c r="E64" s="85"/>
      <c r="F64" s="85"/>
      <c r="G64" s="85"/>
      <c r="H64" s="85"/>
      <c r="I64" s="85"/>
      <c r="J64" s="118"/>
      <c r="K64" s="85"/>
      <c r="L64" s="85"/>
      <c r="M64" s="85"/>
      <c r="N64" s="85"/>
      <c r="O64" s="85"/>
      <c r="P64" s="85"/>
      <c r="Q64" s="85"/>
      <c r="R64" s="85"/>
      <c r="S64" s="85"/>
      <c r="T64" s="118"/>
    </row>
    <row r="65" spans="1:20" ht="14.25" customHeight="1">
      <c r="A65" s="85"/>
      <c r="B65" s="85"/>
      <c r="C65" s="85"/>
      <c r="D65" s="85"/>
      <c r="E65" s="85"/>
      <c r="F65" s="85"/>
      <c r="G65" s="85"/>
      <c r="H65" s="85"/>
      <c r="I65" s="85"/>
      <c r="J65" s="118"/>
      <c r="K65" s="85"/>
      <c r="L65" s="85"/>
      <c r="M65" s="85"/>
      <c r="N65" s="85"/>
      <c r="O65" s="85"/>
      <c r="P65" s="85"/>
      <c r="Q65" s="85"/>
      <c r="R65" s="85"/>
      <c r="S65" s="85"/>
      <c r="T65" s="118"/>
    </row>
    <row r="66" spans="1:20" ht="14.25" customHeight="1">
      <c r="A66" s="85" t="s">
        <v>97</v>
      </c>
      <c r="B66" s="85"/>
      <c r="C66" s="85"/>
      <c r="D66" s="85"/>
      <c r="E66" s="85"/>
      <c r="F66" s="85"/>
      <c r="G66" s="85"/>
      <c r="H66" s="85"/>
      <c r="I66" s="85"/>
      <c r="J66" s="118"/>
      <c r="K66" s="85" t="s">
        <v>97</v>
      </c>
      <c r="L66" s="85"/>
      <c r="M66" s="85"/>
      <c r="N66" s="85"/>
      <c r="O66" s="85"/>
      <c r="P66" s="85"/>
      <c r="Q66" s="85"/>
      <c r="R66" s="85"/>
      <c r="S66" s="85"/>
      <c r="T66" s="118"/>
    </row>
    <row r="67" spans="1:20" ht="14.25" customHeight="1">
      <c r="A67" s="85"/>
      <c r="B67" s="85"/>
      <c r="C67" s="85"/>
      <c r="D67" s="85"/>
      <c r="E67" s="85"/>
      <c r="F67" s="85"/>
      <c r="G67" s="85"/>
      <c r="H67" s="85"/>
      <c r="I67" s="85"/>
      <c r="J67" s="118"/>
      <c r="K67" s="85"/>
      <c r="L67" s="85"/>
      <c r="M67" s="85"/>
      <c r="N67" s="85"/>
      <c r="O67" s="85"/>
      <c r="P67" s="85"/>
      <c r="Q67" s="85"/>
      <c r="R67" s="85"/>
      <c r="S67" s="85"/>
      <c r="T67" s="118"/>
    </row>
    <row r="68" spans="1:20" ht="14.25" customHeight="1">
      <c r="A68" s="108" t="s">
        <v>86</v>
      </c>
      <c r="B68" s="360">
        <v>1.4E-5</v>
      </c>
      <c r="C68" s="349" t="s">
        <v>87</v>
      </c>
      <c r="D68" s="359">
        <f>B13</f>
        <v>281291</v>
      </c>
      <c r="E68" s="349" t="s">
        <v>346</v>
      </c>
      <c r="F68" s="360">
        <v>0.13800000000000001</v>
      </c>
      <c r="G68" s="349" t="s">
        <v>89</v>
      </c>
      <c r="H68" s="360">
        <v>1</v>
      </c>
      <c r="I68" s="436" t="s">
        <v>90</v>
      </c>
      <c r="J68" s="557"/>
      <c r="K68" s="108" t="s">
        <v>86</v>
      </c>
      <c r="L68" s="360">
        <v>1.4E-5</v>
      </c>
      <c r="M68" s="349" t="s">
        <v>87</v>
      </c>
      <c r="N68" s="359">
        <f>L13</f>
        <v>210170</v>
      </c>
      <c r="O68" s="349" t="s">
        <v>346</v>
      </c>
      <c r="P68" s="360">
        <v>0.13800000000000001</v>
      </c>
      <c r="Q68" s="349" t="s">
        <v>89</v>
      </c>
      <c r="R68" s="360">
        <v>1</v>
      </c>
      <c r="S68" s="436" t="s">
        <v>90</v>
      </c>
      <c r="T68" s="557"/>
    </row>
    <row r="69" spans="1:20" ht="14.25" customHeight="1">
      <c r="A69" s="85"/>
      <c r="B69" s="468"/>
      <c r="C69" s="364" t="s">
        <v>89</v>
      </c>
      <c r="D69" s="468"/>
      <c r="E69" s="364" t="s">
        <v>59</v>
      </c>
      <c r="F69" s="468"/>
      <c r="G69" s="364" t="s">
        <v>88</v>
      </c>
      <c r="H69" s="235">
        <v>2000</v>
      </c>
      <c r="I69" s="85" t="s">
        <v>87</v>
      </c>
      <c r="J69" s="557"/>
      <c r="K69" s="85"/>
      <c r="L69" s="468"/>
      <c r="M69" s="364" t="s">
        <v>89</v>
      </c>
      <c r="N69" s="468"/>
      <c r="O69" s="364" t="s">
        <v>59</v>
      </c>
      <c r="P69" s="468"/>
      <c r="Q69" s="364" t="s">
        <v>88</v>
      </c>
      <c r="R69" s="235">
        <v>2000</v>
      </c>
      <c r="S69" s="85" t="s">
        <v>87</v>
      </c>
      <c r="T69" s="557"/>
    </row>
    <row r="71" spans="1:20" ht="14.25" customHeight="1">
      <c r="A71" s="108" t="s">
        <v>86</v>
      </c>
      <c r="B71" s="470">
        <f>(B68*D68*F68)/H69</f>
        <v>2.7172710599999999E-4</v>
      </c>
      <c r="C71" s="115" t="s">
        <v>90</v>
      </c>
      <c r="D71" s="85"/>
      <c r="E71" s="85"/>
      <c r="F71" s="85"/>
      <c r="G71" s="85"/>
      <c r="H71" s="85"/>
      <c r="I71" s="85"/>
      <c r="J71" s="85"/>
      <c r="K71" s="108" t="s">
        <v>86</v>
      </c>
      <c r="L71" s="470">
        <f>(L68*N68*P68)/R69</f>
        <v>2.0302422000000001E-4</v>
      </c>
      <c r="M71" s="115" t="s">
        <v>90</v>
      </c>
      <c r="N71" s="85"/>
      <c r="O71" s="85"/>
      <c r="P71" s="85"/>
      <c r="Q71" s="85"/>
      <c r="R71" s="85"/>
      <c r="S71" s="85"/>
      <c r="T71" s="85"/>
    </row>
    <row r="72" spans="1:20" ht="14.25" customHeight="1">
      <c r="A72" s="85"/>
      <c r="B72" s="85"/>
      <c r="C72" s="118" t="s">
        <v>59</v>
      </c>
      <c r="D72" s="85"/>
      <c r="E72" s="85"/>
      <c r="F72" s="85"/>
      <c r="G72" s="85"/>
      <c r="H72" s="85"/>
      <c r="I72" s="85"/>
      <c r="J72" s="85"/>
      <c r="K72" s="85"/>
      <c r="L72" s="85"/>
      <c r="M72" s="118" t="s">
        <v>59</v>
      </c>
      <c r="N72" s="85"/>
      <c r="O72" s="85"/>
      <c r="P72" s="85"/>
      <c r="Q72" s="85"/>
      <c r="R72" s="85"/>
      <c r="S72" s="85"/>
      <c r="T72" s="85"/>
    </row>
    <row r="75" spans="1:20" ht="14.25" customHeight="1">
      <c r="A75" s="85" t="s">
        <v>98</v>
      </c>
      <c r="B75" s="85"/>
      <c r="C75" s="85"/>
      <c r="D75" s="85"/>
      <c r="E75" s="85"/>
      <c r="F75" s="85"/>
      <c r="G75" s="85"/>
      <c r="K75" s="85" t="s">
        <v>98</v>
      </c>
      <c r="L75" s="85"/>
      <c r="M75" s="85"/>
      <c r="N75" s="85"/>
      <c r="O75" s="85"/>
      <c r="P75" s="85"/>
      <c r="Q75" s="85"/>
    </row>
    <row r="77" spans="1:20" ht="14.25" customHeight="1">
      <c r="A77" s="108" t="s">
        <v>86</v>
      </c>
      <c r="B77" s="449">
        <f>V14</f>
        <v>22.578420600240001</v>
      </c>
      <c r="C77" s="349" t="s">
        <v>87</v>
      </c>
      <c r="D77" s="361">
        <f>D68</f>
        <v>281291</v>
      </c>
      <c r="E77" s="349" t="s">
        <v>88</v>
      </c>
      <c r="F77" s="556"/>
      <c r="G77" s="362" t="s">
        <v>90</v>
      </c>
      <c r="K77" s="108" t="s">
        <v>86</v>
      </c>
      <c r="L77" s="449">
        <f>V14</f>
        <v>22.578420600240001</v>
      </c>
      <c r="M77" s="349" t="s">
        <v>87</v>
      </c>
      <c r="N77" s="361">
        <f>N68</f>
        <v>210170</v>
      </c>
      <c r="O77" s="349" t="s">
        <v>88</v>
      </c>
      <c r="P77" s="556"/>
      <c r="Q77" s="362" t="s">
        <v>90</v>
      </c>
    </row>
    <row r="78" spans="1:20" ht="14.25" customHeight="1">
      <c r="A78" s="85"/>
      <c r="B78" s="363"/>
      <c r="C78" s="364" t="s">
        <v>88</v>
      </c>
      <c r="D78" s="557"/>
      <c r="E78" s="226" t="s">
        <v>59</v>
      </c>
      <c r="F78" s="235">
        <v>2000</v>
      </c>
      <c r="G78" s="365" t="s">
        <v>87</v>
      </c>
      <c r="K78" s="85"/>
      <c r="L78" s="363"/>
      <c r="M78" s="364" t="s">
        <v>88</v>
      </c>
      <c r="N78" s="557"/>
      <c r="O78" s="226" t="s">
        <v>59</v>
      </c>
      <c r="P78" s="235">
        <v>2000</v>
      </c>
      <c r="Q78" s="365" t="s">
        <v>87</v>
      </c>
    </row>
    <row r="81" spans="1:17" ht="14.25" customHeight="1">
      <c r="A81" s="108" t="s">
        <v>86</v>
      </c>
      <c r="B81" s="369">
        <f>B77*D77/F78</f>
        <v>3175.5532545310552</v>
      </c>
      <c r="C81" s="115" t="s">
        <v>90</v>
      </c>
      <c r="D81" s="108" t="s">
        <v>86</v>
      </c>
      <c r="E81" s="369">
        <f>B81*(2000/8760)</f>
        <v>725.01215856873398</v>
      </c>
      <c r="F81" s="115" t="s">
        <v>87</v>
      </c>
      <c r="G81" s="85"/>
      <c r="K81" s="108" t="s">
        <v>86</v>
      </c>
      <c r="L81" s="369">
        <f>L77*N77/P78</f>
        <v>2372.6533287762204</v>
      </c>
      <c r="M81" s="115" t="s">
        <v>90</v>
      </c>
      <c r="N81" s="108" t="s">
        <v>86</v>
      </c>
      <c r="O81" s="369">
        <f>L81*(2000/8760)</f>
        <v>541.70167323657995</v>
      </c>
      <c r="P81" s="115" t="s">
        <v>87</v>
      </c>
      <c r="Q81" s="85"/>
    </row>
    <row r="82" spans="1:17" ht="14.25" customHeight="1">
      <c r="A82" s="85"/>
      <c r="B82" s="85"/>
      <c r="C82" s="118" t="s">
        <v>59</v>
      </c>
      <c r="D82" s="85"/>
      <c r="E82" s="85"/>
      <c r="F82" s="118" t="s">
        <v>92</v>
      </c>
      <c r="G82" s="85"/>
      <c r="K82" s="85"/>
      <c r="L82" s="85"/>
      <c r="M82" s="118" t="s">
        <v>59</v>
      </c>
      <c r="N82" s="85"/>
      <c r="O82" s="85"/>
      <c r="P82" s="118" t="s">
        <v>92</v>
      </c>
      <c r="Q82" s="85"/>
    </row>
  </sheetData>
  <mergeCells count="4">
    <mergeCell ref="A2:J2"/>
    <mergeCell ref="K2:T2"/>
    <mergeCell ref="A4:B4"/>
    <mergeCell ref="K4:L4"/>
  </mergeCells>
  <pageMargins left="0.7" right="0.7" top="0.75" bottom="0.75" header="0.511811023622047" footer="0.511811023622047"/>
  <pageSetup paperSize="9" orientation="portrait" horizontalDpi="300" verticalDpi="30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W73"/>
  <sheetViews>
    <sheetView zoomScaleNormal="100" workbookViewId="0"/>
  </sheetViews>
  <sheetFormatPr defaultColWidth="8.7109375" defaultRowHeight="15"/>
  <cols>
    <col min="1" max="1" width="11.5703125" customWidth="1"/>
    <col min="2" max="2" width="14.42578125" customWidth="1"/>
    <col min="4" max="4" width="9.7109375" customWidth="1"/>
    <col min="11" max="11" width="11.85546875" customWidth="1"/>
    <col min="12" max="12" width="12" customWidth="1"/>
    <col min="14" max="14" width="9.7109375" customWidth="1"/>
  </cols>
  <sheetData>
    <row r="1" spans="1:23" ht="14.25" customHeight="1">
      <c r="A1" s="574" t="s">
        <v>347</v>
      </c>
      <c r="B1" s="574"/>
      <c r="C1" s="574"/>
      <c r="D1" s="574"/>
      <c r="E1" s="574"/>
      <c r="F1" s="574"/>
      <c r="G1" s="574"/>
      <c r="H1" s="574"/>
      <c r="I1" s="574"/>
      <c r="K1" s="574" t="s">
        <v>348</v>
      </c>
      <c r="L1" s="574"/>
      <c r="M1" s="574"/>
      <c r="N1" s="574"/>
      <c r="O1" s="574"/>
      <c r="P1" s="574"/>
      <c r="Q1" s="574"/>
      <c r="R1" s="574"/>
      <c r="S1" s="574"/>
    </row>
    <row r="3" spans="1:23" ht="14.25" customHeight="1">
      <c r="A3" s="605" t="s">
        <v>349</v>
      </c>
      <c r="B3" s="605"/>
      <c r="C3" s="605"/>
      <c r="D3" s="605"/>
      <c r="K3" s="605" t="s">
        <v>349</v>
      </c>
      <c r="L3" s="605"/>
      <c r="M3" s="605"/>
      <c r="N3" s="605"/>
    </row>
    <row r="4" spans="1:23" ht="14.25" customHeight="1">
      <c r="A4" s="606" t="s">
        <v>350</v>
      </c>
      <c r="B4" s="606"/>
      <c r="C4" s="606"/>
      <c r="D4" s="606"/>
      <c r="K4" s="606" t="s">
        <v>350</v>
      </c>
      <c r="L4" s="606"/>
      <c r="M4" s="606"/>
      <c r="N4" s="606"/>
    </row>
    <row r="5" spans="1:23" ht="14.25" customHeight="1">
      <c r="A5" s="472" t="s">
        <v>12</v>
      </c>
      <c r="B5" s="473">
        <v>1.2E-2</v>
      </c>
      <c r="C5" s="474" t="s">
        <v>351</v>
      </c>
      <c r="D5" s="475"/>
      <c r="K5" s="472" t="s">
        <v>12</v>
      </c>
      <c r="L5" s="473">
        <v>1.2E-2</v>
      </c>
      <c r="M5" s="474" t="s">
        <v>351</v>
      </c>
      <c r="N5" s="475"/>
    </row>
    <row r="6" spans="1:23" ht="14.25" customHeight="1">
      <c r="A6" s="476" t="s">
        <v>35</v>
      </c>
      <c r="B6" s="477">
        <v>1.01</v>
      </c>
      <c r="C6" s="478" t="s">
        <v>352</v>
      </c>
      <c r="D6" s="479"/>
      <c r="K6" s="476" t="s">
        <v>35</v>
      </c>
      <c r="L6" s="477">
        <v>1.01</v>
      </c>
      <c r="M6" s="478" t="s">
        <v>352</v>
      </c>
      <c r="N6" s="479"/>
    </row>
    <row r="7" spans="1:23" ht="14.25" customHeight="1">
      <c r="A7" s="476" t="s">
        <v>14</v>
      </c>
      <c r="B7" s="477">
        <v>0.88</v>
      </c>
      <c r="C7" s="478" t="s">
        <v>351</v>
      </c>
      <c r="D7" s="479"/>
      <c r="K7" s="476" t="s">
        <v>14</v>
      </c>
      <c r="L7" s="477">
        <v>0.88</v>
      </c>
      <c r="M7" s="478" t="s">
        <v>351</v>
      </c>
      <c r="N7" s="479"/>
    </row>
    <row r="8" spans="1:23" ht="14.25" customHeight="1">
      <c r="A8" s="476" t="s">
        <v>16</v>
      </c>
      <c r="B8" s="477">
        <v>4.0999999999999999E-4</v>
      </c>
      <c r="C8" s="478" t="s">
        <v>351</v>
      </c>
      <c r="D8" s="479"/>
      <c r="K8" s="476" t="s">
        <v>16</v>
      </c>
      <c r="L8" s="477">
        <v>4.0999999999999999E-4</v>
      </c>
      <c r="M8" s="478" t="s">
        <v>351</v>
      </c>
      <c r="N8" s="479"/>
    </row>
    <row r="9" spans="1:23" ht="14.25" customHeight="1">
      <c r="A9" s="476" t="s">
        <v>15</v>
      </c>
      <c r="B9" s="477">
        <v>3.3E-3</v>
      </c>
      <c r="C9" s="478" t="s">
        <v>351</v>
      </c>
      <c r="D9" s="479"/>
      <c r="K9" s="476" t="s">
        <v>15</v>
      </c>
      <c r="L9" s="477">
        <v>3.3E-3</v>
      </c>
      <c r="M9" s="478" t="s">
        <v>351</v>
      </c>
      <c r="N9" s="479"/>
    </row>
    <row r="10" spans="1:23" ht="14.25" customHeight="1">
      <c r="A10" s="480" t="s">
        <v>17</v>
      </c>
      <c r="B10" s="481">
        <v>1.4E-5</v>
      </c>
      <c r="C10" s="482" t="s">
        <v>351</v>
      </c>
      <c r="D10" s="483"/>
      <c r="K10" s="480" t="s">
        <v>17</v>
      </c>
      <c r="L10" s="481">
        <v>1.4E-5</v>
      </c>
      <c r="M10" s="482" t="s">
        <v>351</v>
      </c>
      <c r="N10" s="483"/>
    </row>
    <row r="11" spans="1:23" ht="14.25" customHeight="1">
      <c r="A11" s="447" t="s">
        <v>18</v>
      </c>
      <c r="B11" s="448" t="s">
        <v>237</v>
      </c>
      <c r="C11" s="355" t="s">
        <v>236</v>
      </c>
      <c r="D11" s="85"/>
      <c r="E11" s="85"/>
      <c r="F11" s="85"/>
      <c r="G11" s="85"/>
      <c r="H11" s="85"/>
      <c r="I11" s="85"/>
      <c r="K11" s="447" t="s">
        <v>18</v>
      </c>
      <c r="L11" s="448" t="s">
        <v>237</v>
      </c>
      <c r="M11" s="355" t="s">
        <v>236</v>
      </c>
    </row>
    <row r="13" spans="1:23" ht="14.25" customHeight="1">
      <c r="A13" s="407" t="s">
        <v>318</v>
      </c>
      <c r="B13" s="158">
        <f>Turbinas!J11</f>
        <v>0</v>
      </c>
      <c r="C13" t="s">
        <v>83</v>
      </c>
      <c r="D13" s="604" t="s">
        <v>353</v>
      </c>
      <c r="E13" s="604"/>
      <c r="F13" s="604"/>
      <c r="G13" s="604"/>
      <c r="H13" s="604"/>
      <c r="K13" s="407" t="s">
        <v>318</v>
      </c>
      <c r="L13" s="158">
        <f>Turbinas!K11</f>
        <v>0</v>
      </c>
      <c r="M13" t="s">
        <v>83</v>
      </c>
      <c r="N13" s="604" t="s">
        <v>353</v>
      </c>
      <c r="O13" s="604"/>
      <c r="P13" s="604"/>
      <c r="Q13" s="604"/>
      <c r="R13" s="604"/>
    </row>
    <row r="14" spans="1:23" ht="14.25" customHeight="1">
      <c r="A14" s="407" t="s">
        <v>57</v>
      </c>
      <c r="B14" s="158">
        <f>Turbinas!AE11</f>
        <v>0.01</v>
      </c>
      <c r="K14" s="407" t="s">
        <v>57</v>
      </c>
      <c r="L14" s="158">
        <f>Turbinas!AF11</f>
        <v>0.01</v>
      </c>
      <c r="V14">
        <f>(73.96+0.003*25+0.0006*298)*2.2046*0.138</f>
        <v>22.578420600240001</v>
      </c>
      <c r="W14" t="s">
        <v>123</v>
      </c>
    </row>
    <row r="16" spans="1:23" ht="14.25" customHeight="1">
      <c r="A16" s="407" t="s">
        <v>193</v>
      </c>
      <c r="K16" s="407" t="s">
        <v>193</v>
      </c>
    </row>
    <row r="18" spans="1:19" ht="14.25" customHeight="1">
      <c r="A18" s="87" t="s">
        <v>86</v>
      </c>
      <c r="B18" s="484">
        <v>1.2E-2</v>
      </c>
      <c r="C18" s="485" t="s">
        <v>87</v>
      </c>
      <c r="D18" s="486">
        <f>B13</f>
        <v>0</v>
      </c>
      <c r="E18" s="485" t="s">
        <v>88</v>
      </c>
      <c r="F18" s="484">
        <v>0.13800000000000001</v>
      </c>
      <c r="G18" s="485" t="s">
        <v>89</v>
      </c>
      <c r="H18" s="602" t="s">
        <v>90</v>
      </c>
      <c r="I18" s="602"/>
      <c r="K18" s="87" t="s">
        <v>86</v>
      </c>
      <c r="L18" s="484">
        <v>1.2E-2</v>
      </c>
      <c r="M18" s="485" t="s">
        <v>87</v>
      </c>
      <c r="N18" s="486">
        <f>L13</f>
        <v>0</v>
      </c>
      <c r="O18" s="485" t="s">
        <v>88</v>
      </c>
      <c r="P18" s="484">
        <v>0.13800000000000001</v>
      </c>
      <c r="Q18" s="485" t="s">
        <v>89</v>
      </c>
      <c r="R18" s="602" t="s">
        <v>90</v>
      </c>
      <c r="S18" s="602"/>
    </row>
    <row r="19" spans="1:19" ht="14.25" customHeight="1">
      <c r="B19" s="603" t="s">
        <v>89</v>
      </c>
      <c r="C19" s="603"/>
      <c r="D19" s="603" t="s">
        <v>59</v>
      </c>
      <c r="E19" s="603"/>
      <c r="F19" s="603" t="s">
        <v>88</v>
      </c>
      <c r="G19" s="603"/>
      <c r="H19" s="487">
        <v>2000</v>
      </c>
      <c r="I19" t="s">
        <v>87</v>
      </c>
      <c r="L19" s="603" t="s">
        <v>89</v>
      </c>
      <c r="M19" s="603"/>
      <c r="N19" s="603" t="s">
        <v>59</v>
      </c>
      <c r="O19" s="603"/>
      <c r="P19" s="603" t="s">
        <v>88</v>
      </c>
      <c r="Q19" s="603"/>
      <c r="R19" s="487">
        <v>2000</v>
      </c>
      <c r="S19" t="s">
        <v>87</v>
      </c>
    </row>
    <row r="21" spans="1:19" ht="14.25" customHeight="1">
      <c r="A21" s="87" t="s">
        <v>86</v>
      </c>
      <c r="B21" s="100">
        <f>(B18*D18*F18)/H19</f>
        <v>0</v>
      </c>
      <c r="C21" s="94" t="s">
        <v>90</v>
      </c>
      <c r="D21" s="87" t="s">
        <v>86</v>
      </c>
      <c r="E21" s="100">
        <f>B21*2000/8760</f>
        <v>0</v>
      </c>
      <c r="F21" s="115" t="s">
        <v>87</v>
      </c>
      <c r="H21" s="81"/>
      <c r="K21" s="87" t="s">
        <v>86</v>
      </c>
      <c r="L21" s="100">
        <f>(L18*N18*P18)/R19</f>
        <v>0</v>
      </c>
      <c r="M21" s="94" t="s">
        <v>90</v>
      </c>
      <c r="N21" s="87" t="s">
        <v>86</v>
      </c>
      <c r="O21" s="100">
        <f>L21*2000/8760</f>
        <v>0</v>
      </c>
      <c r="P21" s="115" t="s">
        <v>87</v>
      </c>
      <c r="R21" s="81"/>
    </row>
    <row r="22" spans="1:19" ht="14.25" customHeight="1">
      <c r="C22" s="97" t="s">
        <v>59</v>
      </c>
      <c r="F22" s="118" t="s">
        <v>92</v>
      </c>
      <c r="M22" s="97" t="s">
        <v>59</v>
      </c>
      <c r="P22" s="118" t="s">
        <v>92</v>
      </c>
    </row>
    <row r="24" spans="1:19" ht="14.25" customHeight="1">
      <c r="A24" s="407" t="s">
        <v>93</v>
      </c>
      <c r="K24" s="407" t="s">
        <v>93</v>
      </c>
    </row>
    <row r="26" spans="1:19" ht="14.25" customHeight="1">
      <c r="A26" s="87" t="s">
        <v>86</v>
      </c>
      <c r="B26" s="488">
        <f>(B6*B14)</f>
        <v>1.01E-2</v>
      </c>
      <c r="C26" s="485" t="s">
        <v>87</v>
      </c>
      <c r="D26" s="486">
        <f>B13</f>
        <v>0</v>
      </c>
      <c r="E26" s="485" t="s">
        <v>88</v>
      </c>
      <c r="F26" s="484">
        <v>0.13800000000000001</v>
      </c>
      <c r="G26" s="485" t="s">
        <v>89</v>
      </c>
      <c r="H26" s="602" t="s">
        <v>90</v>
      </c>
      <c r="I26" s="602"/>
      <c r="K26" s="87" t="s">
        <v>86</v>
      </c>
      <c r="L26" s="488">
        <f>L6*L14</f>
        <v>1.01E-2</v>
      </c>
      <c r="M26" s="485" t="s">
        <v>87</v>
      </c>
      <c r="N26" s="486">
        <f>L13</f>
        <v>0</v>
      </c>
      <c r="O26" s="485" t="s">
        <v>88</v>
      </c>
      <c r="P26" s="484">
        <v>0.13800000000000001</v>
      </c>
      <c r="Q26" s="485" t="s">
        <v>89</v>
      </c>
      <c r="R26" s="602" t="s">
        <v>90</v>
      </c>
      <c r="S26" s="602"/>
    </row>
    <row r="27" spans="1:19" ht="14.25" customHeight="1">
      <c r="B27" s="603" t="s">
        <v>89</v>
      </c>
      <c r="C27" s="603"/>
      <c r="D27" s="603" t="s">
        <v>59</v>
      </c>
      <c r="E27" s="603"/>
      <c r="F27" s="603" t="s">
        <v>88</v>
      </c>
      <c r="G27" s="603"/>
      <c r="H27" s="487">
        <v>2000</v>
      </c>
      <c r="I27" t="s">
        <v>87</v>
      </c>
      <c r="L27" s="603" t="s">
        <v>89</v>
      </c>
      <c r="M27" s="603"/>
      <c r="N27" s="603" t="s">
        <v>59</v>
      </c>
      <c r="O27" s="603"/>
      <c r="P27" s="603" t="s">
        <v>88</v>
      </c>
      <c r="Q27" s="603"/>
      <c r="R27" s="487">
        <v>2000</v>
      </c>
      <c r="S27" t="s">
        <v>87</v>
      </c>
    </row>
    <row r="29" spans="1:19" ht="14.25" customHeight="1">
      <c r="A29" s="87" t="s">
        <v>86</v>
      </c>
      <c r="B29" s="93">
        <f>(B26*D26*F26)/H27</f>
        <v>0</v>
      </c>
      <c r="C29" s="94" t="s">
        <v>90</v>
      </c>
      <c r="D29" s="87" t="s">
        <v>86</v>
      </c>
      <c r="E29" s="100">
        <f>B29*2000/8760</f>
        <v>0</v>
      </c>
      <c r="F29" s="115" t="s">
        <v>87</v>
      </c>
      <c r="H29" s="81"/>
      <c r="K29" s="87" t="s">
        <v>86</v>
      </c>
      <c r="L29" s="93">
        <f>(L26*N26*P26)/R27</f>
        <v>0</v>
      </c>
      <c r="M29" s="94" t="s">
        <v>90</v>
      </c>
      <c r="N29" s="87" t="s">
        <v>86</v>
      </c>
      <c r="O29" s="100">
        <f>L29*2000/8760</f>
        <v>0</v>
      </c>
      <c r="P29" s="115" t="s">
        <v>87</v>
      </c>
      <c r="R29" s="81"/>
    </row>
    <row r="30" spans="1:19" ht="14.25" customHeight="1">
      <c r="C30" s="97" t="s">
        <v>59</v>
      </c>
      <c r="F30" s="118" t="s">
        <v>92</v>
      </c>
      <c r="M30" s="97" t="s">
        <v>59</v>
      </c>
      <c r="P30" s="118" t="s">
        <v>92</v>
      </c>
    </row>
    <row r="31" spans="1:19" ht="14.25" customHeight="1">
      <c r="C31" s="97"/>
      <c r="F31" s="118"/>
      <c r="M31" s="97"/>
      <c r="P31" s="118"/>
    </row>
    <row r="32" spans="1:19" ht="14.25" customHeight="1">
      <c r="A32" s="81"/>
      <c r="B32" s="81"/>
      <c r="C32" s="81"/>
      <c r="D32" s="81"/>
      <c r="E32" s="81"/>
      <c r="F32" s="81"/>
      <c r="G32" s="81"/>
      <c r="H32" s="81"/>
      <c r="I32" s="81"/>
      <c r="K32" s="81"/>
      <c r="L32" s="81"/>
      <c r="M32" s="81"/>
      <c r="N32" s="81"/>
      <c r="O32" s="81"/>
      <c r="P32" s="81"/>
      <c r="Q32" s="81"/>
      <c r="R32" s="81"/>
      <c r="S32" s="81"/>
    </row>
    <row r="33" spans="1:19" ht="14.25" customHeight="1">
      <c r="A33" s="407" t="s">
        <v>94</v>
      </c>
      <c r="K33" s="407" t="s">
        <v>94</v>
      </c>
    </row>
    <row r="35" spans="1:19" ht="14.25" customHeight="1">
      <c r="A35" s="87" t="s">
        <v>86</v>
      </c>
      <c r="B35" s="484">
        <v>0.88</v>
      </c>
      <c r="C35" s="485" t="s">
        <v>87</v>
      </c>
      <c r="D35" s="486">
        <f>B13</f>
        <v>0</v>
      </c>
      <c r="E35" s="485" t="s">
        <v>88</v>
      </c>
      <c r="F35" s="484">
        <v>0.13800000000000001</v>
      </c>
      <c r="G35" s="485" t="s">
        <v>89</v>
      </c>
      <c r="H35" s="602" t="s">
        <v>90</v>
      </c>
      <c r="I35" s="602"/>
      <c r="K35" s="87" t="s">
        <v>86</v>
      </c>
      <c r="L35" s="484">
        <v>0.88</v>
      </c>
      <c r="M35" s="485" t="s">
        <v>87</v>
      </c>
      <c r="N35" s="486">
        <f>L13</f>
        <v>0</v>
      </c>
      <c r="O35" s="485" t="s">
        <v>88</v>
      </c>
      <c r="P35" s="484">
        <v>0.13800000000000001</v>
      </c>
      <c r="Q35" s="485" t="s">
        <v>89</v>
      </c>
      <c r="R35" s="602" t="s">
        <v>90</v>
      </c>
      <c r="S35" s="602"/>
    </row>
    <row r="36" spans="1:19" ht="14.25" customHeight="1">
      <c r="B36" s="603" t="s">
        <v>89</v>
      </c>
      <c r="C36" s="603"/>
      <c r="D36" s="603" t="s">
        <v>59</v>
      </c>
      <c r="E36" s="603"/>
      <c r="F36" s="603" t="s">
        <v>88</v>
      </c>
      <c r="G36" s="603"/>
      <c r="H36" s="487">
        <v>2000</v>
      </c>
      <c r="I36" t="s">
        <v>87</v>
      </c>
      <c r="L36" s="603" t="s">
        <v>89</v>
      </c>
      <c r="M36" s="603"/>
      <c r="N36" s="603" t="s">
        <v>59</v>
      </c>
      <c r="O36" s="603"/>
      <c r="P36" s="603" t="s">
        <v>88</v>
      </c>
      <c r="Q36" s="603"/>
      <c r="R36" s="487">
        <v>2000</v>
      </c>
      <c r="S36" t="s">
        <v>87</v>
      </c>
    </row>
    <row r="38" spans="1:19" ht="14.25" customHeight="1">
      <c r="A38" s="87" t="s">
        <v>86</v>
      </c>
      <c r="B38" s="93">
        <f>(B35*D35*F35)/H36</f>
        <v>0</v>
      </c>
      <c r="C38" s="94" t="s">
        <v>90</v>
      </c>
      <c r="D38" s="87" t="s">
        <v>86</v>
      </c>
      <c r="E38" s="93">
        <f>B38*2000/8760</f>
        <v>0</v>
      </c>
      <c r="F38" s="115" t="s">
        <v>87</v>
      </c>
      <c r="H38" s="81"/>
      <c r="K38" s="87" t="s">
        <v>86</v>
      </c>
      <c r="L38" s="93">
        <f>(L35*N35*P35)/R36</f>
        <v>0</v>
      </c>
      <c r="M38" s="94" t="s">
        <v>90</v>
      </c>
      <c r="N38" s="87" t="s">
        <v>86</v>
      </c>
      <c r="O38" s="93">
        <f>L38*2000/8760</f>
        <v>0</v>
      </c>
      <c r="P38" s="115" t="s">
        <v>87</v>
      </c>
      <c r="R38" s="81"/>
    </row>
    <row r="39" spans="1:19" ht="14.25" customHeight="1">
      <c r="C39" s="97" t="s">
        <v>59</v>
      </c>
      <c r="F39" s="118" t="s">
        <v>92</v>
      </c>
      <c r="M39" s="97" t="s">
        <v>59</v>
      </c>
      <c r="P39" s="118" t="s">
        <v>92</v>
      </c>
    </row>
    <row r="40" spans="1:19" ht="14.25" customHeight="1">
      <c r="C40" s="97"/>
      <c r="D40" s="87"/>
      <c r="E40" s="102"/>
      <c r="F40" s="118"/>
      <c r="H40" s="81"/>
      <c r="M40" s="97"/>
      <c r="N40" s="87"/>
      <c r="O40" s="102"/>
      <c r="P40" s="118"/>
      <c r="R40" s="81"/>
    </row>
    <row r="41" spans="1:19" ht="14.25" customHeight="1">
      <c r="A41" s="407" t="s">
        <v>95</v>
      </c>
      <c r="K41" s="407" t="s">
        <v>95</v>
      </c>
    </row>
    <row r="43" spans="1:19" ht="14.25" customHeight="1">
      <c r="A43" s="87" t="s">
        <v>86</v>
      </c>
      <c r="B43" s="484">
        <v>4.0999999999999999E-4</v>
      </c>
      <c r="C43" s="485" t="s">
        <v>87</v>
      </c>
      <c r="D43" s="486">
        <f>B13</f>
        <v>0</v>
      </c>
      <c r="E43" s="485" t="s">
        <v>88</v>
      </c>
      <c r="F43" s="484">
        <v>0.13800000000000001</v>
      </c>
      <c r="G43" s="485" t="s">
        <v>89</v>
      </c>
      <c r="H43" s="602" t="s">
        <v>90</v>
      </c>
      <c r="I43" s="602"/>
      <c r="K43" s="87" t="s">
        <v>86</v>
      </c>
      <c r="L43" s="484">
        <v>4.0999999999999999E-4</v>
      </c>
      <c r="M43" s="485" t="s">
        <v>87</v>
      </c>
      <c r="N43" s="486">
        <f>L13</f>
        <v>0</v>
      </c>
      <c r="O43" s="485" t="s">
        <v>88</v>
      </c>
      <c r="P43" s="484">
        <v>0.13800000000000001</v>
      </c>
      <c r="Q43" s="485" t="s">
        <v>89</v>
      </c>
      <c r="R43" s="602" t="s">
        <v>90</v>
      </c>
      <c r="S43" s="602"/>
    </row>
    <row r="44" spans="1:19" ht="14.25" customHeight="1">
      <c r="B44" s="603" t="s">
        <v>89</v>
      </c>
      <c r="C44" s="603"/>
      <c r="D44" s="603" t="s">
        <v>59</v>
      </c>
      <c r="E44" s="603"/>
      <c r="F44" s="603" t="s">
        <v>88</v>
      </c>
      <c r="G44" s="603"/>
      <c r="H44" s="487">
        <v>2000</v>
      </c>
      <c r="I44" t="s">
        <v>87</v>
      </c>
      <c r="L44" s="603" t="s">
        <v>89</v>
      </c>
      <c r="M44" s="603"/>
      <c r="N44" s="603" t="s">
        <v>59</v>
      </c>
      <c r="O44" s="603"/>
      <c r="P44" s="603" t="s">
        <v>88</v>
      </c>
      <c r="Q44" s="603"/>
      <c r="R44" s="487">
        <v>2000</v>
      </c>
      <c r="S44" t="s">
        <v>87</v>
      </c>
    </row>
    <row r="46" spans="1:19" ht="14.25" customHeight="1">
      <c r="A46" s="87" t="s">
        <v>86</v>
      </c>
      <c r="B46" s="100">
        <f>(B43*D43*F43)/H44</f>
        <v>0</v>
      </c>
      <c r="C46" s="94" t="s">
        <v>90</v>
      </c>
      <c r="D46" s="87" t="s">
        <v>86</v>
      </c>
      <c r="E46" s="100">
        <f>B46*(2000/8760)</f>
        <v>0</v>
      </c>
      <c r="F46" s="115" t="s">
        <v>87</v>
      </c>
      <c r="H46" s="81"/>
      <c r="K46" s="87" t="s">
        <v>86</v>
      </c>
      <c r="L46" s="100">
        <f>(L43*N43*P43)/R44</f>
        <v>0</v>
      </c>
      <c r="M46" s="94" t="s">
        <v>90</v>
      </c>
      <c r="N46" s="87" t="s">
        <v>86</v>
      </c>
      <c r="O46" s="100">
        <f>L46*2000/8760</f>
        <v>0</v>
      </c>
      <c r="P46" s="115" t="s">
        <v>87</v>
      </c>
      <c r="R46" s="81"/>
    </row>
    <row r="47" spans="1:19" ht="14.25" customHeight="1">
      <c r="C47" s="97" t="s">
        <v>59</v>
      </c>
      <c r="F47" s="118" t="s">
        <v>92</v>
      </c>
      <c r="M47" s="97" t="s">
        <v>59</v>
      </c>
      <c r="P47" s="118" t="s">
        <v>92</v>
      </c>
    </row>
    <row r="48" spans="1:19" ht="14.25" customHeight="1">
      <c r="D48" s="87"/>
      <c r="E48" s="102"/>
      <c r="F48" s="118"/>
      <c r="H48" s="81"/>
      <c r="N48" s="87"/>
      <c r="O48" s="102"/>
      <c r="P48" s="118"/>
      <c r="R48" s="81"/>
    </row>
    <row r="49" spans="1:19" ht="14.25" customHeight="1">
      <c r="A49" s="407" t="s">
        <v>96</v>
      </c>
      <c r="D49" s="87"/>
      <c r="E49" s="102"/>
      <c r="H49" s="81"/>
      <c r="K49" s="407" t="s">
        <v>96</v>
      </c>
      <c r="N49" s="87"/>
      <c r="O49" s="102"/>
      <c r="R49" s="81"/>
    </row>
    <row r="51" spans="1:19" ht="14.25" customHeight="1">
      <c r="A51" s="87" t="s">
        <v>86</v>
      </c>
      <c r="B51" s="484">
        <v>3.3E-3</v>
      </c>
      <c r="C51" s="485" t="s">
        <v>87</v>
      </c>
      <c r="D51" s="486">
        <f>B13</f>
        <v>0</v>
      </c>
      <c r="E51" s="485" t="s">
        <v>88</v>
      </c>
      <c r="F51" s="484">
        <v>0.13800000000000001</v>
      </c>
      <c r="G51" s="485" t="s">
        <v>89</v>
      </c>
      <c r="H51" s="602" t="s">
        <v>90</v>
      </c>
      <c r="I51" s="602"/>
      <c r="K51" s="87" t="s">
        <v>86</v>
      </c>
      <c r="L51" s="484">
        <v>3.3E-3</v>
      </c>
      <c r="M51" s="485" t="s">
        <v>87</v>
      </c>
      <c r="N51" s="486">
        <f>L13</f>
        <v>0</v>
      </c>
      <c r="O51" s="485" t="s">
        <v>88</v>
      </c>
      <c r="P51" s="484">
        <v>0.13800000000000001</v>
      </c>
      <c r="Q51" s="485" t="s">
        <v>89</v>
      </c>
      <c r="R51" s="602" t="s">
        <v>90</v>
      </c>
      <c r="S51" s="602"/>
    </row>
    <row r="52" spans="1:19" ht="14.25" customHeight="1">
      <c r="B52" s="603" t="s">
        <v>89</v>
      </c>
      <c r="C52" s="603"/>
      <c r="D52" s="603" t="s">
        <v>59</v>
      </c>
      <c r="E52" s="603"/>
      <c r="F52" s="603" t="s">
        <v>88</v>
      </c>
      <c r="G52" s="603"/>
      <c r="H52" s="487">
        <v>2000</v>
      </c>
      <c r="I52" t="s">
        <v>87</v>
      </c>
      <c r="L52" s="603" t="s">
        <v>89</v>
      </c>
      <c r="M52" s="603"/>
      <c r="N52" s="603" t="s">
        <v>59</v>
      </c>
      <c r="O52" s="603"/>
      <c r="P52" s="603" t="s">
        <v>88</v>
      </c>
      <c r="Q52" s="603"/>
      <c r="R52" s="487">
        <v>2000</v>
      </c>
      <c r="S52" t="s">
        <v>87</v>
      </c>
    </row>
    <row r="54" spans="1:19" ht="14.25" customHeight="1">
      <c r="A54" s="87" t="s">
        <v>86</v>
      </c>
      <c r="B54" s="100">
        <f>(B51*D51*F51)/H52</f>
        <v>0</v>
      </c>
      <c r="C54" s="94" t="s">
        <v>90</v>
      </c>
      <c r="D54" s="87" t="s">
        <v>86</v>
      </c>
      <c r="E54" s="100">
        <f>B54*2000/8760</f>
        <v>0</v>
      </c>
      <c r="F54" s="115" t="s">
        <v>87</v>
      </c>
      <c r="H54" s="81"/>
      <c r="K54" s="87" t="s">
        <v>86</v>
      </c>
      <c r="L54" s="100">
        <f>(L51*N51*P51)/R52</f>
        <v>0</v>
      </c>
      <c r="M54" s="94" t="s">
        <v>90</v>
      </c>
      <c r="N54" s="87" t="s">
        <v>86</v>
      </c>
      <c r="O54" s="100">
        <f>L54*2000/8760</f>
        <v>0</v>
      </c>
      <c r="P54" s="115" t="s">
        <v>87</v>
      </c>
      <c r="R54" s="81"/>
    </row>
    <row r="55" spans="1:19" ht="14.25" customHeight="1">
      <c r="C55" s="97" t="s">
        <v>59</v>
      </c>
      <c r="F55" s="118" t="s">
        <v>92</v>
      </c>
      <c r="M55" s="97" t="s">
        <v>59</v>
      </c>
      <c r="P55" s="118" t="s">
        <v>92</v>
      </c>
    </row>
    <row r="56" spans="1:19" ht="14.25" customHeight="1">
      <c r="A56" s="122"/>
      <c r="B56" s="122"/>
      <c r="C56" s="122"/>
      <c r="D56" s="122"/>
      <c r="E56" s="122"/>
      <c r="F56" s="122"/>
      <c r="G56" s="122"/>
      <c r="H56" s="122"/>
      <c r="I56" s="122"/>
      <c r="K56" s="122"/>
      <c r="L56" s="122"/>
      <c r="M56" s="122"/>
      <c r="N56" s="122"/>
      <c r="O56" s="122"/>
      <c r="P56" s="122"/>
      <c r="Q56" s="122"/>
      <c r="R56" s="122"/>
      <c r="S56" s="122"/>
    </row>
    <row r="57" spans="1:19" ht="14.25" customHeight="1">
      <c r="A57" s="407" t="s">
        <v>97</v>
      </c>
      <c r="K57" s="407" t="s">
        <v>97</v>
      </c>
    </row>
    <row r="59" spans="1:19" ht="14.25" customHeight="1">
      <c r="A59" s="87" t="s">
        <v>86</v>
      </c>
      <c r="B59" s="484">
        <v>1.4E-5</v>
      </c>
      <c r="C59" s="485" t="s">
        <v>87</v>
      </c>
      <c r="D59" s="486">
        <f>B13</f>
        <v>0</v>
      </c>
      <c r="E59" s="485" t="s">
        <v>88</v>
      </c>
      <c r="F59" s="484">
        <v>0.13800000000000001</v>
      </c>
      <c r="G59" s="485" t="s">
        <v>89</v>
      </c>
      <c r="H59" s="602" t="s">
        <v>90</v>
      </c>
      <c r="I59" s="602"/>
      <c r="K59" s="87" t="s">
        <v>86</v>
      </c>
      <c r="L59" s="484">
        <v>1.4E-5</v>
      </c>
      <c r="M59" s="485" t="s">
        <v>87</v>
      </c>
      <c r="N59" s="486">
        <f>L13</f>
        <v>0</v>
      </c>
      <c r="O59" s="485" t="s">
        <v>88</v>
      </c>
      <c r="P59" s="484">
        <v>0.13800000000000001</v>
      </c>
      <c r="Q59" s="485" t="s">
        <v>89</v>
      </c>
      <c r="R59" s="602" t="s">
        <v>90</v>
      </c>
      <c r="S59" s="602"/>
    </row>
    <row r="60" spans="1:19" ht="14.25" customHeight="1">
      <c r="B60" s="603" t="s">
        <v>89</v>
      </c>
      <c r="C60" s="603"/>
      <c r="D60" s="603" t="s">
        <v>59</v>
      </c>
      <c r="E60" s="603"/>
      <c r="F60" s="603" t="s">
        <v>88</v>
      </c>
      <c r="G60" s="603"/>
      <c r="H60" s="487">
        <v>2000</v>
      </c>
      <c r="I60" t="s">
        <v>87</v>
      </c>
      <c r="L60" s="603" t="s">
        <v>89</v>
      </c>
      <c r="M60" s="603"/>
      <c r="N60" s="603" t="s">
        <v>59</v>
      </c>
      <c r="O60" s="603"/>
      <c r="P60" s="603" t="s">
        <v>88</v>
      </c>
      <c r="Q60" s="603"/>
      <c r="R60" s="487">
        <v>2000</v>
      </c>
      <c r="S60" t="s">
        <v>87</v>
      </c>
    </row>
    <row r="62" spans="1:19" ht="14.25" customHeight="1">
      <c r="A62" s="87" t="s">
        <v>86</v>
      </c>
      <c r="B62" s="100">
        <f>(B59*D59*F59)/H60</f>
        <v>0</v>
      </c>
      <c r="C62" s="94" t="s">
        <v>90</v>
      </c>
      <c r="D62" s="87" t="s">
        <v>86</v>
      </c>
      <c r="E62" s="100">
        <f>B62*2000/8760</f>
        <v>0</v>
      </c>
      <c r="F62" s="115" t="s">
        <v>87</v>
      </c>
      <c r="H62" s="81"/>
      <c r="K62" s="87" t="s">
        <v>86</v>
      </c>
      <c r="L62" s="100">
        <f>(L59*N59*P59)/R60</f>
        <v>0</v>
      </c>
      <c r="M62" s="94" t="s">
        <v>90</v>
      </c>
      <c r="N62" s="87" t="s">
        <v>86</v>
      </c>
      <c r="O62" s="100">
        <f>L62*2000/8760</f>
        <v>0</v>
      </c>
      <c r="P62" s="115" t="s">
        <v>87</v>
      </c>
      <c r="R62" s="81"/>
    </row>
    <row r="63" spans="1:19" ht="14.25" customHeight="1">
      <c r="A63" s="87"/>
      <c r="B63" s="489"/>
      <c r="C63" s="97" t="s">
        <v>59</v>
      </c>
      <c r="F63" s="118" t="s">
        <v>92</v>
      </c>
      <c r="K63" s="87"/>
      <c r="L63" s="489"/>
      <c r="M63" s="97" t="s">
        <v>59</v>
      </c>
      <c r="P63" s="118" t="s">
        <v>92</v>
      </c>
    </row>
    <row r="66" spans="1:17" ht="14.25" customHeight="1">
      <c r="A66" s="85" t="s">
        <v>98</v>
      </c>
      <c r="B66" s="85"/>
      <c r="C66" s="85"/>
      <c r="D66" s="85"/>
      <c r="E66" s="85"/>
      <c r="F66" s="85"/>
      <c r="G66" s="85"/>
      <c r="K66" s="85" t="s">
        <v>98</v>
      </c>
      <c r="L66" s="85"/>
      <c r="M66" s="85"/>
      <c r="N66" s="85"/>
      <c r="O66" s="85"/>
      <c r="P66" s="85"/>
      <c r="Q66" s="85"/>
    </row>
    <row r="68" spans="1:17" ht="14.25" customHeight="1">
      <c r="A68" s="108" t="s">
        <v>86</v>
      </c>
      <c r="B68" s="449">
        <f>V14</f>
        <v>22.578420600240001</v>
      </c>
      <c r="C68" s="349" t="s">
        <v>87</v>
      </c>
      <c r="D68" s="361">
        <f>D59</f>
        <v>0</v>
      </c>
      <c r="E68" s="349" t="s">
        <v>88</v>
      </c>
      <c r="F68" s="556"/>
      <c r="G68" s="362" t="s">
        <v>90</v>
      </c>
      <c r="K68" s="108" t="s">
        <v>86</v>
      </c>
      <c r="L68" s="449">
        <f>V14</f>
        <v>22.578420600240001</v>
      </c>
      <c r="M68" s="349" t="s">
        <v>87</v>
      </c>
      <c r="N68" s="361">
        <f>N59</f>
        <v>0</v>
      </c>
      <c r="O68" s="349" t="s">
        <v>88</v>
      </c>
      <c r="P68" s="556"/>
      <c r="Q68" s="362" t="s">
        <v>90</v>
      </c>
    </row>
    <row r="69" spans="1:17" ht="14.25" customHeight="1">
      <c r="A69" s="85"/>
      <c r="B69" s="363"/>
      <c r="C69" s="364" t="s">
        <v>88</v>
      </c>
      <c r="D69" s="557"/>
      <c r="E69" s="226" t="s">
        <v>59</v>
      </c>
      <c r="F69" s="235">
        <v>2000</v>
      </c>
      <c r="G69" s="365" t="s">
        <v>87</v>
      </c>
      <c r="K69" s="85"/>
      <c r="L69" s="363"/>
      <c r="M69" s="364" t="s">
        <v>88</v>
      </c>
      <c r="N69" s="557"/>
      <c r="O69" s="226" t="s">
        <v>59</v>
      </c>
      <c r="P69" s="235">
        <v>2000</v>
      </c>
      <c r="Q69" s="365" t="s">
        <v>87</v>
      </c>
    </row>
    <row r="72" spans="1:17" ht="14.25" customHeight="1">
      <c r="A72" s="108" t="s">
        <v>86</v>
      </c>
      <c r="B72" s="369">
        <f>B68*D68/F69</f>
        <v>0</v>
      </c>
      <c r="C72" s="115" t="s">
        <v>90</v>
      </c>
      <c r="D72" s="108" t="s">
        <v>86</v>
      </c>
      <c r="E72" s="369">
        <f>B72*(2000/8760)</f>
        <v>0</v>
      </c>
      <c r="F72" s="115" t="s">
        <v>87</v>
      </c>
      <c r="G72" s="85"/>
      <c r="K72" s="108" t="s">
        <v>86</v>
      </c>
      <c r="L72" s="369">
        <f>L68*N68/P69</f>
        <v>0</v>
      </c>
      <c r="M72" s="115" t="s">
        <v>90</v>
      </c>
      <c r="N72" s="108" t="s">
        <v>86</v>
      </c>
      <c r="O72" s="369">
        <f>L72*(2000/8760)</f>
        <v>0</v>
      </c>
      <c r="P72" s="115" t="s">
        <v>87</v>
      </c>
      <c r="Q72" s="85"/>
    </row>
    <row r="73" spans="1:17" ht="14.25" customHeight="1">
      <c r="A73" s="85"/>
      <c r="B73" s="85"/>
      <c r="C73" s="118" t="s">
        <v>59</v>
      </c>
      <c r="D73" s="85"/>
      <c r="E73" s="85"/>
      <c r="F73" s="118" t="s">
        <v>92</v>
      </c>
      <c r="G73" s="85"/>
      <c r="K73" s="85"/>
      <c r="L73" s="85"/>
      <c r="M73" s="118" t="s">
        <v>59</v>
      </c>
      <c r="N73" s="85"/>
      <c r="O73" s="85"/>
      <c r="P73" s="118" t="s">
        <v>92</v>
      </c>
      <c r="Q73" s="85"/>
    </row>
  </sheetData>
  <mergeCells count="56">
    <mergeCell ref="A1:I1"/>
    <mergeCell ref="K1:S1"/>
    <mergeCell ref="A3:D3"/>
    <mergeCell ref="K3:N3"/>
    <mergeCell ref="A4:D4"/>
    <mergeCell ref="K4:N4"/>
    <mergeCell ref="D13:H13"/>
    <mergeCell ref="N13:R13"/>
    <mergeCell ref="H18:I18"/>
    <mergeCell ref="R18:S18"/>
    <mergeCell ref="B19:C19"/>
    <mergeCell ref="D19:E19"/>
    <mergeCell ref="F19:G19"/>
    <mergeCell ref="L19:M19"/>
    <mergeCell ref="N19:O19"/>
    <mergeCell ref="P19:Q19"/>
    <mergeCell ref="H26:I26"/>
    <mergeCell ref="R26:S26"/>
    <mergeCell ref="B27:C27"/>
    <mergeCell ref="D27:E27"/>
    <mergeCell ref="F27:G27"/>
    <mergeCell ref="L27:M27"/>
    <mergeCell ref="N27:O27"/>
    <mergeCell ref="P27:Q27"/>
    <mergeCell ref="H35:I35"/>
    <mergeCell ref="R35:S35"/>
    <mergeCell ref="B36:C36"/>
    <mergeCell ref="D36:E36"/>
    <mergeCell ref="F36:G36"/>
    <mergeCell ref="L36:M36"/>
    <mergeCell ref="N36:O36"/>
    <mergeCell ref="P36:Q36"/>
    <mergeCell ref="H43:I43"/>
    <mergeCell ref="R43:S43"/>
    <mergeCell ref="B44:C44"/>
    <mergeCell ref="D44:E44"/>
    <mergeCell ref="F44:G44"/>
    <mergeCell ref="L44:M44"/>
    <mergeCell ref="N44:O44"/>
    <mergeCell ref="P44:Q44"/>
    <mergeCell ref="H51:I51"/>
    <mergeCell ref="R51:S51"/>
    <mergeCell ref="B52:C52"/>
    <mergeCell ref="D52:E52"/>
    <mergeCell ref="F52:G52"/>
    <mergeCell ref="L52:M52"/>
    <mergeCell ref="N52:O52"/>
    <mergeCell ref="P52:Q52"/>
    <mergeCell ref="H59:I59"/>
    <mergeCell ref="R59:S59"/>
    <mergeCell ref="B60:C60"/>
    <mergeCell ref="D60:E60"/>
    <mergeCell ref="F60:G60"/>
    <mergeCell ref="L60:M60"/>
    <mergeCell ref="N60:O60"/>
    <mergeCell ref="P60:Q60"/>
  </mergeCells>
  <pageMargins left="0.7" right="0.7" top="0.75" bottom="0.75" header="0.511811023622047" footer="0.511811023622047"/>
  <pageSetup paperSize="9" orientation="portrait" horizontalDpi="300" verticalDpi="30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W84"/>
  <sheetViews>
    <sheetView zoomScaleNormal="100" workbookViewId="0"/>
  </sheetViews>
  <sheetFormatPr defaultColWidth="8.7109375" defaultRowHeight="15"/>
  <cols>
    <col min="1" max="1" width="16.140625" customWidth="1"/>
    <col min="2" max="2" width="12.140625" customWidth="1"/>
    <col min="4" max="4" width="9.85546875" customWidth="1"/>
    <col min="10" max="10" width="4" customWidth="1"/>
    <col min="11" max="11" width="11.42578125" customWidth="1"/>
    <col min="14" max="14" width="9.85546875" customWidth="1"/>
    <col min="19" max="19" width="6.7109375" customWidth="1"/>
  </cols>
  <sheetData>
    <row r="1" spans="1:23" ht="14.25" customHeight="1">
      <c r="A1" s="574" t="s">
        <v>354</v>
      </c>
      <c r="B1" s="574"/>
      <c r="C1" s="574"/>
      <c r="D1" s="574"/>
      <c r="E1" s="574"/>
      <c r="F1" s="574"/>
      <c r="G1" s="574"/>
      <c r="H1" s="574"/>
      <c r="I1" s="574"/>
      <c r="J1" s="574"/>
      <c r="K1" s="574" t="s">
        <v>355</v>
      </c>
      <c r="L1" s="574"/>
      <c r="M1" s="574"/>
      <c r="N1" s="574"/>
      <c r="O1" s="574"/>
      <c r="P1" s="574"/>
      <c r="Q1" s="574"/>
      <c r="R1" s="574"/>
      <c r="S1" s="574"/>
      <c r="T1" s="81"/>
    </row>
    <row r="3" spans="1:23" ht="14.25" customHeight="1">
      <c r="A3" s="607" t="s">
        <v>356</v>
      </c>
      <c r="B3" s="607"/>
      <c r="C3" s="607"/>
      <c r="D3" s="607"/>
      <c r="E3" s="85"/>
      <c r="F3" s="85"/>
      <c r="G3" s="85"/>
      <c r="H3" s="85"/>
      <c r="I3" s="85"/>
      <c r="J3" s="85"/>
      <c r="K3" s="607" t="s">
        <v>356</v>
      </c>
      <c r="L3" s="607"/>
      <c r="M3" s="607"/>
      <c r="N3" s="607"/>
      <c r="O3" s="85"/>
      <c r="P3" s="85"/>
      <c r="Q3" s="85"/>
      <c r="R3" s="85"/>
      <c r="S3" s="85"/>
      <c r="T3" s="85"/>
    </row>
    <row r="4" spans="1:23" ht="14.25" customHeight="1">
      <c r="A4" s="608" t="s">
        <v>350</v>
      </c>
      <c r="B4" s="608"/>
      <c r="C4" s="608"/>
      <c r="D4" s="608"/>
      <c r="E4" s="85"/>
      <c r="F4" s="85"/>
      <c r="G4" s="85"/>
      <c r="H4" s="85"/>
      <c r="I4" s="85"/>
      <c r="J4" s="85"/>
      <c r="K4" s="608" t="s">
        <v>350</v>
      </c>
      <c r="L4" s="608"/>
      <c r="M4" s="608"/>
      <c r="N4" s="608"/>
      <c r="O4" s="85"/>
      <c r="P4" s="85"/>
      <c r="Q4" s="85"/>
      <c r="R4" s="85"/>
      <c r="S4" s="85"/>
      <c r="T4" s="85"/>
    </row>
    <row r="5" spans="1:23" ht="14.25" customHeight="1">
      <c r="A5" s="490" t="s">
        <v>12</v>
      </c>
      <c r="B5" s="491">
        <v>1.2E-2</v>
      </c>
      <c r="C5" s="491" t="s">
        <v>351</v>
      </c>
      <c r="D5" s="311"/>
      <c r="E5" s="85"/>
      <c r="F5" s="85"/>
      <c r="G5" s="85"/>
      <c r="H5" s="85"/>
      <c r="I5" s="85"/>
      <c r="J5" s="85"/>
      <c r="K5" s="490" t="s">
        <v>12</v>
      </c>
      <c r="L5" s="491">
        <v>1.2E-2</v>
      </c>
      <c r="M5" s="491" t="s">
        <v>351</v>
      </c>
      <c r="N5" s="311"/>
      <c r="O5" s="85"/>
      <c r="P5" s="85"/>
      <c r="Q5" s="85"/>
      <c r="R5" s="85"/>
      <c r="S5" s="85"/>
      <c r="T5" s="85"/>
    </row>
    <row r="6" spans="1:23" ht="14.25" customHeight="1">
      <c r="A6" s="492" t="s">
        <v>35</v>
      </c>
      <c r="B6" s="351">
        <v>1.01</v>
      </c>
      <c r="C6" s="351" t="s">
        <v>352</v>
      </c>
      <c r="D6" s="315"/>
      <c r="E6" s="85"/>
      <c r="F6" s="85"/>
      <c r="G6" s="85"/>
      <c r="H6" s="85"/>
      <c r="I6" s="85"/>
      <c r="J6" s="85"/>
      <c r="K6" s="492" t="s">
        <v>35</v>
      </c>
      <c r="L6" s="351">
        <v>1.01</v>
      </c>
      <c r="M6" s="351" t="s">
        <v>352</v>
      </c>
      <c r="N6" s="315"/>
      <c r="O6" s="85"/>
      <c r="P6" s="85"/>
      <c r="Q6" s="85"/>
      <c r="R6" s="85"/>
      <c r="S6" s="85"/>
      <c r="T6" s="85"/>
    </row>
    <row r="7" spans="1:23" ht="14.25" customHeight="1">
      <c r="A7" s="492" t="s">
        <v>14</v>
      </c>
      <c r="B7" s="351">
        <v>0.88</v>
      </c>
      <c r="C7" s="351" t="s">
        <v>351</v>
      </c>
      <c r="D7" s="315"/>
      <c r="E7" s="85"/>
      <c r="F7" s="85"/>
      <c r="G7" s="85"/>
      <c r="H7" s="85"/>
      <c r="I7" s="85"/>
      <c r="J7" s="85"/>
      <c r="K7" s="492" t="s">
        <v>14</v>
      </c>
      <c r="L7" s="351">
        <v>0.88</v>
      </c>
      <c r="M7" s="351" t="s">
        <v>351</v>
      </c>
      <c r="N7" s="315"/>
      <c r="O7" s="85"/>
      <c r="P7" s="85"/>
      <c r="Q7" s="85"/>
      <c r="R7" s="85"/>
      <c r="S7" s="85"/>
      <c r="T7" s="85"/>
    </row>
    <row r="8" spans="1:23" ht="14.25" customHeight="1">
      <c r="A8" s="492" t="s">
        <v>16</v>
      </c>
      <c r="B8" s="351">
        <v>4.0999999999999999E-4</v>
      </c>
      <c r="C8" s="351" t="s">
        <v>351</v>
      </c>
      <c r="D8" s="315"/>
      <c r="E8" s="85"/>
      <c r="F8" s="85"/>
      <c r="G8" s="85"/>
      <c r="H8" s="85"/>
      <c r="I8" s="85"/>
      <c r="J8" s="85"/>
      <c r="K8" s="492" t="s">
        <v>16</v>
      </c>
      <c r="L8" s="351">
        <v>4.0999999999999999E-4</v>
      </c>
      <c r="M8" s="351" t="s">
        <v>351</v>
      </c>
      <c r="N8" s="315"/>
      <c r="O8" s="85"/>
      <c r="P8" s="85"/>
      <c r="Q8" s="85"/>
      <c r="R8" s="85"/>
      <c r="S8" s="85"/>
      <c r="T8" s="85"/>
    </row>
    <row r="9" spans="1:23" ht="14.25" customHeight="1">
      <c r="A9" s="492" t="s">
        <v>15</v>
      </c>
      <c r="B9" s="351">
        <v>3.3E-3</v>
      </c>
      <c r="C9" s="351" t="s">
        <v>351</v>
      </c>
      <c r="D9" s="315"/>
      <c r="E9" s="85"/>
      <c r="F9" s="85"/>
      <c r="G9" s="85"/>
      <c r="H9" s="85"/>
      <c r="I9" s="85"/>
      <c r="J9" s="85"/>
      <c r="K9" s="492" t="s">
        <v>15</v>
      </c>
      <c r="L9" s="351">
        <v>3.3E-3</v>
      </c>
      <c r="M9" s="351" t="s">
        <v>351</v>
      </c>
      <c r="N9" s="315"/>
      <c r="O9" s="85"/>
      <c r="P9" s="85"/>
      <c r="Q9" s="85"/>
      <c r="R9" s="85"/>
      <c r="S9" s="85"/>
      <c r="T9" s="85"/>
    </row>
    <row r="10" spans="1:23" ht="14.25" customHeight="1">
      <c r="A10" s="493" t="s">
        <v>17</v>
      </c>
      <c r="B10" s="352">
        <v>1.4E-5</v>
      </c>
      <c r="C10" s="352" t="s">
        <v>351</v>
      </c>
      <c r="D10" s="321"/>
      <c r="E10" s="85"/>
      <c r="F10" s="85"/>
      <c r="G10" s="85"/>
      <c r="H10" s="85"/>
      <c r="I10" s="85"/>
      <c r="J10" s="85"/>
      <c r="K10" s="493" t="s">
        <v>17</v>
      </c>
      <c r="L10" s="352">
        <v>1.4E-5</v>
      </c>
      <c r="M10" s="352" t="s">
        <v>351</v>
      </c>
      <c r="N10" s="321"/>
      <c r="O10" s="85"/>
      <c r="P10" s="85"/>
      <c r="Q10" s="85"/>
      <c r="R10" s="85"/>
      <c r="S10" s="85"/>
      <c r="T10" s="85"/>
    </row>
    <row r="11" spans="1:23" ht="14.25" customHeight="1">
      <c r="A11" s="447" t="s">
        <v>18</v>
      </c>
      <c r="B11" s="448" t="s">
        <v>237</v>
      </c>
      <c r="C11" s="355" t="s">
        <v>236</v>
      </c>
      <c r="D11" s="85"/>
      <c r="E11" s="85"/>
      <c r="F11" s="85"/>
      <c r="G11" s="85"/>
      <c r="H11" s="85"/>
      <c r="I11" s="85"/>
      <c r="K11" s="447" t="s">
        <v>18</v>
      </c>
      <c r="L11" s="448" t="s">
        <v>237</v>
      </c>
      <c r="M11" s="355" t="s">
        <v>236</v>
      </c>
    </row>
    <row r="13" spans="1:23" ht="14.25" customHeight="1">
      <c r="A13" s="85" t="s">
        <v>318</v>
      </c>
      <c r="B13" s="467">
        <f>Turbinas!B11</f>
        <v>0</v>
      </c>
      <c r="C13" s="85" t="s">
        <v>83</v>
      </c>
      <c r="D13" s="85"/>
      <c r="E13" s="85"/>
      <c r="F13" s="85"/>
      <c r="G13" s="85"/>
      <c r="H13" s="85"/>
      <c r="I13" s="85"/>
      <c r="J13" s="85"/>
      <c r="K13" s="85" t="s">
        <v>318</v>
      </c>
      <c r="L13" s="467">
        <f>Turbinas!C11</f>
        <v>0</v>
      </c>
      <c r="M13" s="85" t="s">
        <v>83</v>
      </c>
      <c r="N13" s="85"/>
      <c r="O13" s="85"/>
      <c r="P13" s="85"/>
      <c r="Q13" s="85"/>
      <c r="R13" s="85"/>
      <c r="S13" s="85"/>
      <c r="T13" s="85"/>
    </row>
    <row r="14" spans="1:23" ht="14.25" customHeight="1">
      <c r="A14" s="85" t="s">
        <v>57</v>
      </c>
      <c r="B14" s="123">
        <f>Turbinas!AC11</f>
        <v>0.01</v>
      </c>
      <c r="C14" s="85"/>
      <c r="D14" s="85"/>
      <c r="E14" s="85"/>
      <c r="F14" s="85"/>
      <c r="G14" s="85"/>
      <c r="H14" s="85"/>
      <c r="I14" s="85"/>
      <c r="J14" s="85"/>
      <c r="K14" s="85" t="s">
        <v>57</v>
      </c>
      <c r="L14" s="123">
        <f>Turbinas!AD11</f>
        <v>0.01</v>
      </c>
      <c r="M14" s="85"/>
      <c r="N14" s="85"/>
      <c r="O14" s="85"/>
      <c r="P14" s="85"/>
      <c r="Q14" s="85"/>
      <c r="R14" s="85"/>
      <c r="S14" s="85"/>
      <c r="T14" s="85"/>
      <c r="V14">
        <f>(73.96+0.003*25+0.0006*298)*2.2046*0.138</f>
        <v>22.578420600240001</v>
      </c>
      <c r="W14" t="s">
        <v>123</v>
      </c>
    </row>
    <row r="17" spans="1:20" ht="14.25" customHeight="1">
      <c r="A17" s="85" t="s">
        <v>193</v>
      </c>
      <c r="B17" s="85"/>
      <c r="C17" s="85"/>
      <c r="D17" s="85"/>
      <c r="E17" s="85"/>
      <c r="F17" s="85"/>
      <c r="G17" s="85"/>
      <c r="H17" s="85"/>
      <c r="I17" s="85"/>
      <c r="J17" s="85"/>
      <c r="K17" s="85" t="s">
        <v>193</v>
      </c>
      <c r="L17" s="85"/>
      <c r="M17" s="85"/>
      <c r="N17" s="85"/>
      <c r="O17" s="85"/>
      <c r="P17" s="85"/>
      <c r="Q17" s="85"/>
      <c r="R17" s="85"/>
      <c r="S17" s="85"/>
      <c r="T17" s="85"/>
    </row>
    <row r="19" spans="1:20" ht="14.25" customHeight="1">
      <c r="A19" s="108" t="s">
        <v>86</v>
      </c>
      <c r="B19" s="360">
        <v>1.2E-2</v>
      </c>
      <c r="C19" s="349" t="s">
        <v>87</v>
      </c>
      <c r="D19" s="361">
        <f>B13</f>
        <v>0</v>
      </c>
      <c r="E19" s="349" t="s">
        <v>88</v>
      </c>
      <c r="F19" s="360">
        <v>0.13800000000000001</v>
      </c>
      <c r="G19" s="349" t="s">
        <v>89</v>
      </c>
      <c r="H19" s="592" t="s">
        <v>90</v>
      </c>
      <c r="I19" s="592"/>
      <c r="J19" s="85"/>
      <c r="K19" s="108" t="s">
        <v>86</v>
      </c>
      <c r="L19" s="360">
        <v>1.2E-2</v>
      </c>
      <c r="M19" s="349" t="s">
        <v>87</v>
      </c>
      <c r="N19" s="361">
        <f>L13</f>
        <v>0</v>
      </c>
      <c r="O19" s="349" t="s">
        <v>88</v>
      </c>
      <c r="P19" s="360">
        <v>0.13800000000000001</v>
      </c>
      <c r="Q19" s="349" t="s">
        <v>89</v>
      </c>
      <c r="R19" s="592" t="s">
        <v>90</v>
      </c>
      <c r="S19" s="592"/>
      <c r="T19" s="85"/>
    </row>
    <row r="20" spans="1:20" ht="14.25" customHeight="1">
      <c r="A20" s="85"/>
      <c r="B20" s="593" t="s">
        <v>89</v>
      </c>
      <c r="C20" s="593"/>
      <c r="D20" s="593" t="s">
        <v>59</v>
      </c>
      <c r="E20" s="593"/>
      <c r="F20" s="593" t="s">
        <v>88</v>
      </c>
      <c r="G20" s="593"/>
      <c r="H20" s="235">
        <v>2000</v>
      </c>
      <c r="I20" s="85" t="s">
        <v>87</v>
      </c>
      <c r="J20" s="85"/>
      <c r="K20" s="85"/>
      <c r="L20" s="593" t="s">
        <v>89</v>
      </c>
      <c r="M20" s="593"/>
      <c r="N20" s="593" t="s">
        <v>59</v>
      </c>
      <c r="O20" s="593"/>
      <c r="P20" s="593" t="s">
        <v>88</v>
      </c>
      <c r="Q20" s="593"/>
      <c r="R20" s="235">
        <v>2000</v>
      </c>
      <c r="S20" s="85" t="s">
        <v>87</v>
      </c>
      <c r="T20" s="85"/>
    </row>
    <row r="23" spans="1:20" ht="14.25" customHeight="1">
      <c r="A23" s="108" t="s">
        <v>86</v>
      </c>
      <c r="B23" s="114">
        <f>(B19*D19*F19)/H20</f>
        <v>0</v>
      </c>
      <c r="C23" s="115" t="s">
        <v>90</v>
      </c>
      <c r="D23" s="85"/>
      <c r="E23" s="85" t="s">
        <v>86</v>
      </c>
      <c r="F23" s="114">
        <f>B23*2000/8760</f>
        <v>0</v>
      </c>
      <c r="G23" s="349" t="s">
        <v>141</v>
      </c>
      <c r="H23" s="85"/>
      <c r="I23" s="85"/>
      <c r="J23" s="85"/>
      <c r="K23" s="108" t="s">
        <v>86</v>
      </c>
      <c r="L23" s="114">
        <f>(L19*N19*P19)/R20</f>
        <v>0</v>
      </c>
      <c r="M23" s="115" t="s">
        <v>90</v>
      </c>
      <c r="N23" s="85"/>
      <c r="O23" s="85" t="s">
        <v>86</v>
      </c>
      <c r="P23" s="114">
        <f>L23*2000/8760</f>
        <v>0</v>
      </c>
      <c r="Q23" s="349" t="s">
        <v>141</v>
      </c>
      <c r="R23" s="85"/>
      <c r="S23" s="85"/>
      <c r="T23" s="85"/>
    </row>
    <row r="24" spans="1:20" ht="14.25" customHeight="1">
      <c r="A24" s="85"/>
      <c r="B24" s="85"/>
      <c r="C24" s="118" t="s">
        <v>59</v>
      </c>
      <c r="D24" s="85"/>
      <c r="E24" s="85"/>
      <c r="F24" s="85"/>
      <c r="G24" s="440" t="s">
        <v>92</v>
      </c>
      <c r="H24" s="85"/>
      <c r="I24" s="85"/>
      <c r="J24" s="85"/>
      <c r="K24" s="85"/>
      <c r="L24" s="85"/>
      <c r="M24" s="118" t="s">
        <v>59</v>
      </c>
      <c r="N24" s="85"/>
      <c r="O24" s="85"/>
      <c r="P24" s="85"/>
      <c r="Q24" s="440" t="s">
        <v>92</v>
      </c>
      <c r="R24" s="85"/>
      <c r="S24" s="85"/>
      <c r="T24" s="85"/>
    </row>
    <row r="27" spans="1:20" ht="14.25" customHeight="1">
      <c r="A27" s="85" t="s">
        <v>93</v>
      </c>
      <c r="B27" s="85"/>
      <c r="C27" s="85"/>
      <c r="D27" s="85"/>
      <c r="E27" s="85"/>
      <c r="F27" s="85"/>
      <c r="G27" s="85"/>
      <c r="H27" s="85"/>
      <c r="I27" s="85"/>
      <c r="J27" s="85"/>
      <c r="K27" s="85" t="s">
        <v>93</v>
      </c>
      <c r="L27" s="85"/>
      <c r="M27" s="85"/>
      <c r="N27" s="85"/>
      <c r="O27" s="85"/>
      <c r="P27" s="85"/>
      <c r="Q27" s="85"/>
      <c r="R27" s="85"/>
      <c r="S27" s="85"/>
      <c r="T27" s="85"/>
    </row>
    <row r="29" spans="1:20" ht="14.25" customHeight="1">
      <c r="A29" s="108" t="s">
        <v>86</v>
      </c>
      <c r="B29" s="368">
        <f>B6*B14</f>
        <v>1.01E-2</v>
      </c>
      <c r="C29" s="349" t="s">
        <v>87</v>
      </c>
      <c r="D29" s="361">
        <f>B13</f>
        <v>0</v>
      </c>
      <c r="E29" s="349" t="s">
        <v>88</v>
      </c>
      <c r="F29" s="360">
        <v>0.13800000000000001</v>
      </c>
      <c r="G29" s="349" t="s">
        <v>89</v>
      </c>
      <c r="H29" s="592" t="s">
        <v>90</v>
      </c>
      <c r="I29" s="592"/>
      <c r="J29" s="85"/>
      <c r="K29" s="108" t="s">
        <v>86</v>
      </c>
      <c r="L29" s="368">
        <f>L6*L14</f>
        <v>1.01E-2</v>
      </c>
      <c r="M29" s="349" t="s">
        <v>87</v>
      </c>
      <c r="N29" s="361">
        <f>L13</f>
        <v>0</v>
      </c>
      <c r="O29" s="349" t="s">
        <v>88</v>
      </c>
      <c r="P29" s="360">
        <v>0.13800000000000001</v>
      </c>
      <c r="Q29" s="349" t="s">
        <v>89</v>
      </c>
      <c r="R29" s="592" t="s">
        <v>90</v>
      </c>
      <c r="S29" s="592"/>
      <c r="T29" s="85"/>
    </row>
    <row r="30" spans="1:20" ht="14.25" customHeight="1">
      <c r="A30" s="85"/>
      <c r="B30" s="593" t="s">
        <v>89</v>
      </c>
      <c r="C30" s="593"/>
      <c r="D30" s="593" t="s">
        <v>59</v>
      </c>
      <c r="E30" s="593"/>
      <c r="F30" s="593" t="s">
        <v>88</v>
      </c>
      <c r="G30" s="593"/>
      <c r="H30" s="235">
        <v>2000</v>
      </c>
      <c r="I30" s="85" t="s">
        <v>87</v>
      </c>
      <c r="J30" s="85"/>
      <c r="K30" s="85"/>
      <c r="L30" s="593" t="s">
        <v>89</v>
      </c>
      <c r="M30" s="593"/>
      <c r="N30" s="593" t="s">
        <v>59</v>
      </c>
      <c r="O30" s="593"/>
      <c r="P30" s="593" t="s">
        <v>88</v>
      </c>
      <c r="Q30" s="593"/>
      <c r="R30" s="235">
        <v>2000</v>
      </c>
      <c r="S30" s="85" t="s">
        <v>87</v>
      </c>
      <c r="T30" s="85"/>
    </row>
    <row r="33" spans="1:20" ht="14.25" customHeight="1">
      <c r="A33" s="108" t="s">
        <v>86</v>
      </c>
      <c r="B33" s="114">
        <f>(B29*D29*F29)/H30</f>
        <v>0</v>
      </c>
      <c r="C33" s="115" t="s">
        <v>90</v>
      </c>
      <c r="D33" s="85"/>
      <c r="E33" s="85" t="s">
        <v>86</v>
      </c>
      <c r="F33" s="114">
        <f>B33*2000/8760</f>
        <v>0</v>
      </c>
      <c r="G33" s="349" t="s">
        <v>141</v>
      </c>
      <c r="H33" s="85"/>
      <c r="I33" s="85"/>
      <c r="J33" s="85"/>
      <c r="K33" s="108" t="s">
        <v>86</v>
      </c>
      <c r="L33" s="114">
        <f>(L29*N29*P29)/R30</f>
        <v>0</v>
      </c>
      <c r="M33" s="115" t="s">
        <v>90</v>
      </c>
      <c r="N33" s="85"/>
      <c r="O33" s="85" t="s">
        <v>86</v>
      </c>
      <c r="P33" s="114">
        <f>L33*2000/8760</f>
        <v>0</v>
      </c>
      <c r="Q33" s="349" t="s">
        <v>141</v>
      </c>
      <c r="R33" s="85"/>
      <c r="S33" s="85"/>
      <c r="T33" s="85"/>
    </row>
    <row r="34" spans="1:20" ht="14.25" customHeight="1">
      <c r="A34" s="85"/>
      <c r="B34" s="85"/>
      <c r="C34" s="118" t="s">
        <v>59</v>
      </c>
      <c r="D34" s="85"/>
      <c r="E34" s="85"/>
      <c r="F34" s="85"/>
      <c r="G34" s="440" t="s">
        <v>92</v>
      </c>
      <c r="H34" s="85"/>
      <c r="I34" s="85"/>
      <c r="J34" s="85"/>
      <c r="K34" s="85"/>
      <c r="L34" s="85"/>
      <c r="M34" s="118" t="s">
        <v>59</v>
      </c>
      <c r="N34" s="85"/>
      <c r="O34" s="85"/>
      <c r="P34" s="85"/>
      <c r="Q34" s="440" t="s">
        <v>92</v>
      </c>
      <c r="R34" s="85"/>
      <c r="S34" s="85"/>
      <c r="T34" s="85"/>
    </row>
    <row r="37" spans="1:20" ht="14.25" customHeight="1">
      <c r="A37" s="85" t="s">
        <v>94</v>
      </c>
      <c r="B37" s="85"/>
      <c r="C37" s="85"/>
      <c r="D37" s="85"/>
      <c r="E37" s="85"/>
      <c r="F37" s="85"/>
      <c r="G37" s="85"/>
      <c r="H37" s="85"/>
      <c r="I37" s="85"/>
      <c r="J37" s="85"/>
      <c r="K37" s="85" t="s">
        <v>94</v>
      </c>
      <c r="L37" s="85"/>
      <c r="M37" s="85"/>
      <c r="N37" s="85"/>
      <c r="O37" s="85"/>
      <c r="P37" s="85"/>
      <c r="Q37" s="85"/>
      <c r="R37" s="85"/>
      <c r="S37" s="85"/>
      <c r="T37" s="85"/>
    </row>
    <row r="39" spans="1:20" ht="14.25" customHeight="1">
      <c r="A39" s="108" t="s">
        <v>86</v>
      </c>
      <c r="B39" s="360">
        <v>0.88</v>
      </c>
      <c r="C39" s="349" t="s">
        <v>87</v>
      </c>
      <c r="D39" s="361">
        <f>B13</f>
        <v>0</v>
      </c>
      <c r="E39" s="349" t="s">
        <v>88</v>
      </c>
      <c r="F39" s="360">
        <v>0.13800000000000001</v>
      </c>
      <c r="G39" s="349" t="s">
        <v>89</v>
      </c>
      <c r="H39" s="592" t="s">
        <v>90</v>
      </c>
      <c r="I39" s="592"/>
      <c r="J39" s="85"/>
      <c r="K39" s="108" t="s">
        <v>86</v>
      </c>
      <c r="L39" s="360">
        <v>0.88</v>
      </c>
      <c r="M39" s="349" t="s">
        <v>87</v>
      </c>
      <c r="N39" s="361">
        <f>L13</f>
        <v>0</v>
      </c>
      <c r="O39" s="349" t="s">
        <v>88</v>
      </c>
      <c r="P39" s="360">
        <v>0.13800000000000001</v>
      </c>
      <c r="Q39" s="349" t="s">
        <v>89</v>
      </c>
      <c r="R39" s="592" t="s">
        <v>90</v>
      </c>
      <c r="S39" s="592"/>
      <c r="T39" s="85"/>
    </row>
    <row r="40" spans="1:20" ht="14.25" customHeight="1">
      <c r="A40" s="85"/>
      <c r="B40" s="593" t="s">
        <v>89</v>
      </c>
      <c r="C40" s="593"/>
      <c r="D40" s="593" t="s">
        <v>59</v>
      </c>
      <c r="E40" s="593"/>
      <c r="F40" s="593" t="s">
        <v>88</v>
      </c>
      <c r="G40" s="593"/>
      <c r="H40" s="235">
        <v>2000</v>
      </c>
      <c r="I40" s="85" t="s">
        <v>87</v>
      </c>
      <c r="J40" s="85"/>
      <c r="K40" s="85"/>
      <c r="L40" s="593" t="s">
        <v>89</v>
      </c>
      <c r="M40" s="593"/>
      <c r="N40" s="593" t="s">
        <v>59</v>
      </c>
      <c r="O40" s="593"/>
      <c r="P40" s="593" t="s">
        <v>88</v>
      </c>
      <c r="Q40" s="593"/>
      <c r="R40" s="235">
        <v>2000</v>
      </c>
      <c r="S40" s="85" t="s">
        <v>87</v>
      </c>
      <c r="T40" s="85"/>
    </row>
    <row r="43" spans="1:20" ht="14.25" customHeight="1">
      <c r="A43" s="108" t="s">
        <v>86</v>
      </c>
      <c r="B43" s="114">
        <f>(B39*D39*F39)/H40</f>
        <v>0</v>
      </c>
      <c r="C43" s="115" t="s">
        <v>90</v>
      </c>
      <c r="D43" s="85"/>
      <c r="E43" s="85" t="s">
        <v>86</v>
      </c>
      <c r="F43" s="114">
        <f>B43*2000/8760</f>
        <v>0</v>
      </c>
      <c r="G43" s="349" t="s">
        <v>141</v>
      </c>
      <c r="H43" s="85"/>
      <c r="I43" s="85"/>
      <c r="J43" s="85"/>
      <c r="K43" s="108" t="s">
        <v>86</v>
      </c>
      <c r="L43" s="114">
        <f>(L39*N39*P39)/R40</f>
        <v>0</v>
      </c>
      <c r="M43" s="115" t="s">
        <v>90</v>
      </c>
      <c r="N43" s="85"/>
      <c r="O43" s="85" t="s">
        <v>86</v>
      </c>
      <c r="P43" s="114">
        <f>L43*2000/8760</f>
        <v>0</v>
      </c>
      <c r="Q43" s="349" t="s">
        <v>141</v>
      </c>
      <c r="R43" s="85"/>
      <c r="S43" s="85"/>
      <c r="T43" s="85"/>
    </row>
    <row r="44" spans="1:20" ht="14.25" customHeight="1">
      <c r="A44" s="85"/>
      <c r="B44" s="85"/>
      <c r="C44" s="118" t="s">
        <v>59</v>
      </c>
      <c r="D44" s="85"/>
      <c r="E44" s="85"/>
      <c r="F44" s="85"/>
      <c r="G44" s="440" t="s">
        <v>92</v>
      </c>
      <c r="H44" s="85"/>
      <c r="I44" s="85"/>
      <c r="J44" s="85"/>
      <c r="K44" s="85"/>
      <c r="L44" s="85"/>
      <c r="M44" s="118" t="s">
        <v>59</v>
      </c>
      <c r="N44" s="85"/>
      <c r="O44" s="85"/>
      <c r="P44" s="85"/>
      <c r="Q44" s="440" t="s">
        <v>92</v>
      </c>
      <c r="R44" s="85"/>
      <c r="S44" s="85"/>
      <c r="T44" s="85"/>
    </row>
    <row r="45" spans="1:20" ht="14.25" customHeight="1">
      <c r="A45" s="85"/>
      <c r="B45" s="85"/>
      <c r="C45" s="118"/>
      <c r="D45" s="85"/>
      <c r="E45" s="85"/>
      <c r="F45" s="85"/>
      <c r="G45" s="85"/>
      <c r="H45" s="85"/>
      <c r="I45" s="85"/>
      <c r="J45" s="85"/>
      <c r="K45" s="85"/>
      <c r="L45" s="85"/>
      <c r="M45" s="118"/>
      <c r="N45" s="85"/>
      <c r="O45" s="85"/>
      <c r="P45" s="85"/>
      <c r="Q45" s="85"/>
      <c r="R45" s="85"/>
      <c r="S45" s="85"/>
      <c r="T45" s="85"/>
    </row>
    <row r="47" spans="1:20" ht="14.25" customHeight="1">
      <c r="A47" s="85" t="s">
        <v>95</v>
      </c>
      <c r="B47" s="85"/>
      <c r="C47" s="85"/>
      <c r="D47" s="85"/>
      <c r="E47" s="85"/>
      <c r="F47" s="85"/>
      <c r="G47" s="85"/>
      <c r="H47" s="85"/>
      <c r="I47" s="85"/>
      <c r="J47" s="85"/>
      <c r="K47" s="85" t="s">
        <v>95</v>
      </c>
      <c r="L47" s="85"/>
      <c r="M47" s="85"/>
      <c r="N47" s="85"/>
      <c r="O47" s="85"/>
      <c r="P47" s="85"/>
      <c r="Q47" s="85"/>
      <c r="R47" s="85"/>
      <c r="S47" s="85"/>
      <c r="T47" s="85"/>
    </row>
    <row r="49" spans="1:20" ht="14.25" customHeight="1">
      <c r="A49" s="108" t="s">
        <v>86</v>
      </c>
      <c r="B49" s="360">
        <v>4.0999999999999999E-4</v>
      </c>
      <c r="C49" s="349" t="s">
        <v>87</v>
      </c>
      <c r="D49" s="361">
        <f>B13</f>
        <v>0</v>
      </c>
      <c r="E49" s="349" t="s">
        <v>88</v>
      </c>
      <c r="F49" s="360">
        <v>0.13800000000000001</v>
      </c>
      <c r="G49" s="349" t="s">
        <v>89</v>
      </c>
      <c r="H49" s="592" t="s">
        <v>90</v>
      </c>
      <c r="I49" s="592"/>
      <c r="J49" s="85"/>
      <c r="K49" s="108" t="s">
        <v>86</v>
      </c>
      <c r="L49" s="360">
        <v>4.0999999999999999E-4</v>
      </c>
      <c r="M49" s="349" t="s">
        <v>87</v>
      </c>
      <c r="N49" s="361">
        <f>L13</f>
        <v>0</v>
      </c>
      <c r="O49" s="349" t="s">
        <v>88</v>
      </c>
      <c r="P49" s="360">
        <v>0.13800000000000001</v>
      </c>
      <c r="Q49" s="349" t="s">
        <v>89</v>
      </c>
      <c r="R49" s="592" t="s">
        <v>90</v>
      </c>
      <c r="S49" s="592"/>
      <c r="T49" s="85"/>
    </row>
    <row r="50" spans="1:20" ht="14.25" customHeight="1">
      <c r="A50" s="85"/>
      <c r="B50" s="593" t="s">
        <v>89</v>
      </c>
      <c r="C50" s="593"/>
      <c r="D50" s="593" t="s">
        <v>59</v>
      </c>
      <c r="E50" s="593"/>
      <c r="F50" s="593" t="s">
        <v>88</v>
      </c>
      <c r="G50" s="593"/>
      <c r="H50" s="235">
        <v>2000</v>
      </c>
      <c r="I50" s="85" t="s">
        <v>87</v>
      </c>
      <c r="J50" s="85"/>
      <c r="K50" s="85"/>
      <c r="L50" s="593" t="s">
        <v>89</v>
      </c>
      <c r="M50" s="593"/>
      <c r="N50" s="593" t="s">
        <v>59</v>
      </c>
      <c r="O50" s="593"/>
      <c r="P50" s="593" t="s">
        <v>88</v>
      </c>
      <c r="Q50" s="593"/>
      <c r="R50" s="235">
        <v>2000</v>
      </c>
      <c r="S50" s="85" t="s">
        <v>87</v>
      </c>
      <c r="T50" s="85"/>
    </row>
    <row r="53" spans="1:20" ht="14.25" customHeight="1">
      <c r="A53" s="108" t="s">
        <v>86</v>
      </c>
      <c r="B53" s="114">
        <f>(B49*D49*F49)/H50</f>
        <v>0</v>
      </c>
      <c r="C53" s="115" t="s">
        <v>90</v>
      </c>
      <c r="D53" s="85"/>
      <c r="E53" s="85" t="s">
        <v>86</v>
      </c>
      <c r="F53" s="114">
        <f>B53*2000/8760</f>
        <v>0</v>
      </c>
      <c r="G53" s="349" t="s">
        <v>141</v>
      </c>
      <c r="H53" s="85"/>
      <c r="I53" s="85"/>
      <c r="J53" s="85"/>
      <c r="K53" s="108" t="s">
        <v>86</v>
      </c>
      <c r="L53" s="114">
        <f>(L49*N49*P49)/R50</f>
        <v>0</v>
      </c>
      <c r="M53" s="115" t="s">
        <v>90</v>
      </c>
      <c r="N53" s="85"/>
      <c r="O53" s="85" t="s">
        <v>86</v>
      </c>
      <c r="P53" s="114">
        <f>L53*2000/8760</f>
        <v>0</v>
      </c>
      <c r="Q53" s="349" t="s">
        <v>141</v>
      </c>
      <c r="R53" s="85"/>
      <c r="S53" s="85"/>
      <c r="T53" s="85"/>
    </row>
    <row r="54" spans="1:20" ht="14.25" customHeight="1">
      <c r="A54" s="85"/>
      <c r="B54" s="85"/>
      <c r="C54" s="118" t="s">
        <v>59</v>
      </c>
      <c r="D54" s="85"/>
      <c r="E54" s="85"/>
      <c r="F54" s="85"/>
      <c r="G54" s="440" t="s">
        <v>92</v>
      </c>
      <c r="H54" s="85"/>
      <c r="I54" s="85"/>
      <c r="J54" s="85"/>
      <c r="K54" s="85"/>
      <c r="L54" s="85"/>
      <c r="M54" s="118" t="s">
        <v>59</v>
      </c>
      <c r="N54" s="85"/>
      <c r="O54" s="85"/>
      <c r="P54" s="85"/>
      <c r="Q54" s="440" t="s">
        <v>92</v>
      </c>
      <c r="R54" s="85"/>
      <c r="S54" s="85"/>
      <c r="T54" s="85"/>
    </row>
    <row r="57" spans="1:20" ht="14.25" customHeight="1">
      <c r="A57" s="85" t="s">
        <v>96</v>
      </c>
      <c r="B57" s="85"/>
      <c r="C57" s="85"/>
      <c r="D57" s="85"/>
      <c r="E57" s="85"/>
      <c r="F57" s="85"/>
      <c r="G57" s="85"/>
      <c r="H57" s="85"/>
      <c r="I57" s="85"/>
      <c r="J57" s="85"/>
      <c r="K57" s="85" t="s">
        <v>96</v>
      </c>
      <c r="L57" s="85"/>
      <c r="M57" s="85"/>
      <c r="N57" s="85"/>
      <c r="O57" s="85"/>
      <c r="P57" s="85"/>
      <c r="Q57" s="85"/>
      <c r="R57" s="85"/>
      <c r="S57" s="85"/>
      <c r="T57" s="85"/>
    </row>
    <row r="59" spans="1:20" ht="14.25" customHeight="1">
      <c r="A59" s="108" t="s">
        <v>86</v>
      </c>
      <c r="B59" s="360">
        <v>3.3E-3</v>
      </c>
      <c r="C59" s="349" t="s">
        <v>87</v>
      </c>
      <c r="D59" s="361">
        <f>B13</f>
        <v>0</v>
      </c>
      <c r="E59" s="349" t="s">
        <v>88</v>
      </c>
      <c r="F59" s="360">
        <v>0.13800000000000001</v>
      </c>
      <c r="G59" s="349" t="s">
        <v>89</v>
      </c>
      <c r="H59" s="592" t="s">
        <v>90</v>
      </c>
      <c r="I59" s="592"/>
      <c r="J59" s="85"/>
      <c r="K59" s="108" t="s">
        <v>86</v>
      </c>
      <c r="L59" s="360">
        <v>3.3E-3</v>
      </c>
      <c r="M59" s="349" t="s">
        <v>87</v>
      </c>
      <c r="N59" s="361">
        <f>L13</f>
        <v>0</v>
      </c>
      <c r="O59" s="349" t="s">
        <v>88</v>
      </c>
      <c r="P59" s="360">
        <v>0.13800000000000001</v>
      </c>
      <c r="Q59" s="349" t="s">
        <v>89</v>
      </c>
      <c r="R59" s="592" t="s">
        <v>90</v>
      </c>
      <c r="S59" s="592"/>
      <c r="T59" s="85"/>
    </row>
    <row r="60" spans="1:20" ht="14.25" customHeight="1">
      <c r="A60" s="85"/>
      <c r="B60" s="593" t="s">
        <v>89</v>
      </c>
      <c r="C60" s="593"/>
      <c r="D60" s="593" t="s">
        <v>59</v>
      </c>
      <c r="E60" s="593"/>
      <c r="F60" s="593" t="s">
        <v>88</v>
      </c>
      <c r="G60" s="593"/>
      <c r="H60" s="235">
        <v>2000</v>
      </c>
      <c r="I60" s="85" t="s">
        <v>87</v>
      </c>
      <c r="J60" s="85"/>
      <c r="K60" s="85"/>
      <c r="L60" s="593" t="s">
        <v>89</v>
      </c>
      <c r="M60" s="593"/>
      <c r="N60" s="593" t="s">
        <v>59</v>
      </c>
      <c r="O60" s="593"/>
      <c r="P60" s="593" t="s">
        <v>88</v>
      </c>
      <c r="Q60" s="593"/>
      <c r="R60" s="235">
        <v>2000</v>
      </c>
      <c r="S60" s="85" t="s">
        <v>87</v>
      </c>
      <c r="T60" s="85"/>
    </row>
    <row r="63" spans="1:20" ht="14.25" customHeight="1">
      <c r="A63" s="108" t="s">
        <v>86</v>
      </c>
      <c r="B63" s="114">
        <f>(B59*D59*F59)/H60</f>
        <v>0</v>
      </c>
      <c r="C63" s="115" t="s">
        <v>90</v>
      </c>
      <c r="D63" s="85"/>
      <c r="E63" s="85" t="s">
        <v>86</v>
      </c>
      <c r="F63" s="114">
        <f>B63*2000/8760</f>
        <v>0</v>
      </c>
      <c r="G63" s="349" t="s">
        <v>141</v>
      </c>
      <c r="H63" s="85"/>
      <c r="I63" s="85"/>
      <c r="J63" s="85"/>
      <c r="K63" s="108" t="s">
        <v>86</v>
      </c>
      <c r="L63" s="114">
        <f>(L59*N59*P59)/R60</f>
        <v>0</v>
      </c>
      <c r="M63" s="115" t="s">
        <v>90</v>
      </c>
      <c r="N63" s="85"/>
      <c r="O63" s="85" t="s">
        <v>86</v>
      </c>
      <c r="P63" s="114">
        <f>L63*2000/8760</f>
        <v>0</v>
      </c>
      <c r="Q63" s="349" t="s">
        <v>141</v>
      </c>
      <c r="R63" s="85"/>
      <c r="S63" s="85"/>
      <c r="T63" s="85"/>
    </row>
    <row r="64" spans="1:20" ht="14.25" customHeight="1">
      <c r="A64" s="85"/>
      <c r="B64" s="85"/>
      <c r="C64" s="118" t="s">
        <v>59</v>
      </c>
      <c r="D64" s="85"/>
      <c r="E64" s="85"/>
      <c r="F64" s="85"/>
      <c r="G64" s="440" t="s">
        <v>92</v>
      </c>
      <c r="H64" s="85"/>
      <c r="I64" s="85"/>
      <c r="J64" s="85"/>
      <c r="K64" s="85"/>
      <c r="L64" s="85"/>
      <c r="M64" s="118" t="s">
        <v>59</v>
      </c>
      <c r="N64" s="85"/>
      <c r="O64" s="85"/>
      <c r="P64" s="85"/>
      <c r="Q64" s="440" t="s">
        <v>92</v>
      </c>
      <c r="R64" s="85"/>
      <c r="S64" s="85"/>
      <c r="T64" s="85"/>
    </row>
    <row r="67" spans="1:20" ht="14.25" customHeight="1">
      <c r="A67" s="85" t="s">
        <v>97</v>
      </c>
      <c r="B67" s="85"/>
      <c r="C67" s="85"/>
      <c r="D67" s="85"/>
      <c r="E67" s="85"/>
      <c r="F67" s="85"/>
      <c r="G67" s="85"/>
      <c r="H67" s="85"/>
      <c r="I67" s="85"/>
      <c r="J67" s="85"/>
      <c r="K67" s="85" t="s">
        <v>97</v>
      </c>
      <c r="L67" s="85"/>
      <c r="M67" s="85"/>
      <c r="N67" s="85"/>
      <c r="O67" s="85"/>
      <c r="P67" s="85"/>
      <c r="Q67" s="85"/>
      <c r="R67" s="85"/>
      <c r="S67" s="85"/>
      <c r="T67" s="85"/>
    </row>
    <row r="69" spans="1:20" ht="14.25" customHeight="1">
      <c r="A69" s="108" t="s">
        <v>86</v>
      </c>
      <c r="B69" s="360">
        <v>1.4E-5</v>
      </c>
      <c r="C69" s="349" t="s">
        <v>87</v>
      </c>
      <c r="D69" s="361">
        <f>B13</f>
        <v>0</v>
      </c>
      <c r="E69" s="349" t="s">
        <v>88</v>
      </c>
      <c r="F69" s="360">
        <v>0.13800000000000001</v>
      </c>
      <c r="G69" s="349" t="s">
        <v>89</v>
      </c>
      <c r="H69" s="592" t="s">
        <v>90</v>
      </c>
      <c r="I69" s="592"/>
      <c r="J69" s="85"/>
      <c r="K69" s="108" t="s">
        <v>86</v>
      </c>
      <c r="L69" s="360">
        <v>1.4E-5</v>
      </c>
      <c r="M69" s="349" t="s">
        <v>87</v>
      </c>
      <c r="N69" s="361">
        <f>L13</f>
        <v>0</v>
      </c>
      <c r="O69" s="349" t="s">
        <v>88</v>
      </c>
      <c r="P69" s="360">
        <v>0.13800000000000001</v>
      </c>
      <c r="Q69" s="349" t="s">
        <v>89</v>
      </c>
      <c r="R69" s="592" t="s">
        <v>90</v>
      </c>
      <c r="S69" s="592"/>
      <c r="T69" s="85"/>
    </row>
    <row r="70" spans="1:20" ht="14.25" customHeight="1">
      <c r="A70" s="85"/>
      <c r="B70" s="593" t="s">
        <v>89</v>
      </c>
      <c r="C70" s="593"/>
      <c r="D70" s="593" t="s">
        <v>59</v>
      </c>
      <c r="E70" s="593"/>
      <c r="F70" s="593" t="s">
        <v>88</v>
      </c>
      <c r="G70" s="593"/>
      <c r="H70" s="235">
        <v>2000</v>
      </c>
      <c r="I70" s="85" t="s">
        <v>87</v>
      </c>
      <c r="J70" s="85"/>
      <c r="K70" s="85"/>
      <c r="L70" s="593" t="s">
        <v>89</v>
      </c>
      <c r="M70" s="593"/>
      <c r="N70" s="593" t="s">
        <v>59</v>
      </c>
      <c r="O70" s="593"/>
      <c r="P70" s="593" t="s">
        <v>88</v>
      </c>
      <c r="Q70" s="593"/>
      <c r="R70" s="235">
        <v>2000</v>
      </c>
      <c r="S70" s="85" t="s">
        <v>87</v>
      </c>
      <c r="T70" s="85"/>
    </row>
    <row r="73" spans="1:20" ht="14.25" customHeight="1">
      <c r="A73" s="108" t="s">
        <v>86</v>
      </c>
      <c r="B73" s="114">
        <f>(B69*D69*F69)/H70</f>
        <v>0</v>
      </c>
      <c r="C73" s="115" t="s">
        <v>90</v>
      </c>
      <c r="D73" s="85"/>
      <c r="E73" s="85" t="s">
        <v>86</v>
      </c>
      <c r="F73" s="114">
        <f>B73*2000/8760</f>
        <v>0</v>
      </c>
      <c r="G73" s="349" t="s">
        <v>141</v>
      </c>
      <c r="H73" s="85"/>
      <c r="I73" s="85"/>
      <c r="J73" s="85"/>
      <c r="K73" s="108" t="s">
        <v>86</v>
      </c>
      <c r="L73" s="114">
        <f>(L69*N69*P69)/R70</f>
        <v>0</v>
      </c>
      <c r="M73" s="115" t="s">
        <v>90</v>
      </c>
      <c r="N73" s="85"/>
      <c r="O73" s="85" t="s">
        <v>86</v>
      </c>
      <c r="P73" s="114">
        <f>L73*2000/8760</f>
        <v>0</v>
      </c>
      <c r="Q73" s="349" t="s">
        <v>141</v>
      </c>
      <c r="R73" s="85"/>
      <c r="S73" s="85"/>
      <c r="T73" s="85"/>
    </row>
    <row r="74" spans="1:20" ht="14.25" customHeight="1">
      <c r="A74" s="85"/>
      <c r="B74" s="85"/>
      <c r="C74" s="118" t="s">
        <v>59</v>
      </c>
      <c r="D74" s="85"/>
      <c r="E74" s="85"/>
      <c r="F74" s="85"/>
      <c r="G74" s="440" t="s">
        <v>92</v>
      </c>
      <c r="H74" s="85"/>
      <c r="I74" s="85"/>
      <c r="J74" s="85"/>
      <c r="K74" s="85"/>
      <c r="L74" s="85"/>
      <c r="M74" s="118" t="s">
        <v>59</v>
      </c>
      <c r="N74" s="85"/>
      <c r="O74" s="85"/>
      <c r="P74" s="85"/>
      <c r="Q74" s="440" t="s">
        <v>92</v>
      </c>
      <c r="R74" s="85"/>
      <c r="S74" s="85"/>
      <c r="T74" s="85"/>
    </row>
    <row r="77" spans="1:20" ht="14.25" customHeight="1">
      <c r="A77" s="85" t="s">
        <v>98</v>
      </c>
      <c r="B77" s="85"/>
      <c r="C77" s="85"/>
      <c r="D77" s="85"/>
      <c r="E77" s="85"/>
      <c r="F77" s="85"/>
      <c r="G77" s="85"/>
      <c r="K77" s="85" t="s">
        <v>98</v>
      </c>
      <c r="L77" s="85"/>
      <c r="M77" s="85"/>
      <c r="N77" s="85"/>
      <c r="O77" s="85"/>
      <c r="P77" s="85"/>
      <c r="Q77" s="85"/>
    </row>
    <row r="79" spans="1:20" ht="14.25" customHeight="1">
      <c r="A79" s="108" t="s">
        <v>86</v>
      </c>
      <c r="B79" s="449">
        <f>V14</f>
        <v>22.578420600240001</v>
      </c>
      <c r="C79" s="349" t="s">
        <v>87</v>
      </c>
      <c r="D79" s="361">
        <f>D69</f>
        <v>0</v>
      </c>
      <c r="E79" s="349" t="s">
        <v>88</v>
      </c>
      <c r="F79" s="556"/>
      <c r="G79" s="362" t="s">
        <v>90</v>
      </c>
      <c r="K79" s="108" t="s">
        <v>86</v>
      </c>
      <c r="L79" s="449">
        <f>V14</f>
        <v>22.578420600240001</v>
      </c>
      <c r="M79" s="349" t="s">
        <v>87</v>
      </c>
      <c r="N79" s="361">
        <f>N69</f>
        <v>0</v>
      </c>
      <c r="O79" s="349" t="s">
        <v>88</v>
      </c>
      <c r="P79" s="556"/>
      <c r="Q79" s="362" t="s">
        <v>90</v>
      </c>
    </row>
    <row r="80" spans="1:20" ht="14.25" customHeight="1">
      <c r="A80" s="85"/>
      <c r="B80" s="363"/>
      <c r="C80" s="364" t="s">
        <v>88</v>
      </c>
      <c r="D80" s="557"/>
      <c r="E80" s="226" t="s">
        <v>59</v>
      </c>
      <c r="F80" s="235">
        <v>2000</v>
      </c>
      <c r="G80" s="365" t="s">
        <v>87</v>
      </c>
      <c r="K80" s="85"/>
      <c r="L80" s="363"/>
      <c r="M80" s="364" t="s">
        <v>88</v>
      </c>
      <c r="N80" s="557"/>
      <c r="O80" s="226" t="s">
        <v>59</v>
      </c>
      <c r="P80" s="235">
        <v>2000</v>
      </c>
      <c r="Q80" s="365" t="s">
        <v>87</v>
      </c>
    </row>
    <row r="83" spans="1:17" ht="14.25" customHeight="1">
      <c r="A83" s="108" t="s">
        <v>86</v>
      </c>
      <c r="B83" s="369">
        <f>B79*D79/F80</f>
        <v>0</v>
      </c>
      <c r="C83" s="115" t="s">
        <v>90</v>
      </c>
      <c r="D83" s="108" t="s">
        <v>86</v>
      </c>
      <c r="E83" s="369">
        <f>B83*(2000/8760)</f>
        <v>0</v>
      </c>
      <c r="F83" s="115" t="s">
        <v>87</v>
      </c>
      <c r="G83" s="85"/>
      <c r="K83" s="108" t="s">
        <v>86</v>
      </c>
      <c r="L83" s="369">
        <f>L79*N79/P80</f>
        <v>0</v>
      </c>
      <c r="M83" s="115" t="s">
        <v>90</v>
      </c>
      <c r="N83" s="108" t="s">
        <v>86</v>
      </c>
      <c r="O83" s="369">
        <f>L83*(2000/8760)</f>
        <v>0</v>
      </c>
      <c r="P83" s="115" t="s">
        <v>87</v>
      </c>
      <c r="Q83" s="85"/>
    </row>
    <row r="84" spans="1:17" ht="14.25" customHeight="1">
      <c r="A84" s="85"/>
      <c r="B84" s="85"/>
      <c r="C84" s="118" t="s">
        <v>59</v>
      </c>
      <c r="D84" s="85"/>
      <c r="E84" s="85"/>
      <c r="F84" s="118" t="s">
        <v>92</v>
      </c>
      <c r="G84" s="85"/>
      <c r="K84" s="85"/>
      <c r="L84" s="85"/>
      <c r="M84" s="118" t="s">
        <v>59</v>
      </c>
      <c r="N84" s="85"/>
      <c r="O84" s="85"/>
      <c r="P84" s="118" t="s">
        <v>92</v>
      </c>
      <c r="Q84" s="85"/>
    </row>
  </sheetData>
  <mergeCells count="54">
    <mergeCell ref="A1:J1"/>
    <mergeCell ref="K1:S1"/>
    <mergeCell ref="A3:D3"/>
    <mergeCell ref="K3:N3"/>
    <mergeCell ref="A4:D4"/>
    <mergeCell ref="K4:N4"/>
    <mergeCell ref="H19:I19"/>
    <mergeCell ref="R19:S19"/>
    <mergeCell ref="B20:C20"/>
    <mergeCell ref="D20:E20"/>
    <mergeCell ref="F20:G20"/>
    <mergeCell ref="L20:M20"/>
    <mergeCell ref="N20:O20"/>
    <mergeCell ref="P20:Q20"/>
    <mergeCell ref="H29:I29"/>
    <mergeCell ref="R29:S29"/>
    <mergeCell ref="B30:C30"/>
    <mergeCell ref="D30:E30"/>
    <mergeCell ref="F30:G30"/>
    <mergeCell ref="L30:M30"/>
    <mergeCell ref="N30:O30"/>
    <mergeCell ref="P30:Q30"/>
    <mergeCell ref="H39:I39"/>
    <mergeCell ref="R39:S39"/>
    <mergeCell ref="B40:C40"/>
    <mergeCell ref="D40:E40"/>
    <mergeCell ref="F40:G40"/>
    <mergeCell ref="L40:M40"/>
    <mergeCell ref="N40:O40"/>
    <mergeCell ref="P40:Q40"/>
    <mergeCell ref="H49:I49"/>
    <mergeCell ref="R49:S49"/>
    <mergeCell ref="B50:C50"/>
    <mergeCell ref="D50:E50"/>
    <mergeCell ref="F50:G50"/>
    <mergeCell ref="L50:M50"/>
    <mergeCell ref="N50:O50"/>
    <mergeCell ref="P50:Q50"/>
    <mergeCell ref="H59:I59"/>
    <mergeCell ref="R59:S59"/>
    <mergeCell ref="B60:C60"/>
    <mergeCell ref="D60:E60"/>
    <mergeCell ref="F60:G60"/>
    <mergeCell ref="L60:M60"/>
    <mergeCell ref="N60:O60"/>
    <mergeCell ref="P60:Q60"/>
    <mergeCell ref="H69:I69"/>
    <mergeCell ref="R69:S69"/>
    <mergeCell ref="B70:C70"/>
    <mergeCell ref="D70:E70"/>
    <mergeCell ref="F70:G70"/>
    <mergeCell ref="L70:M70"/>
    <mergeCell ref="N70:O70"/>
    <mergeCell ref="P70:Q70"/>
  </mergeCells>
  <pageMargins left="0.7" right="0.7" top="0.75" bottom="0.75" header="0.511811023622047" footer="0.511811023622047"/>
  <pageSetup paperSize="9" orientation="portrait" horizontalDpi="300" verticalDpi="30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W84"/>
  <sheetViews>
    <sheetView zoomScaleNormal="100" workbookViewId="0"/>
  </sheetViews>
  <sheetFormatPr defaultColWidth="8.7109375" defaultRowHeight="15"/>
  <cols>
    <col min="1" max="1" width="14.7109375" customWidth="1"/>
    <col min="2" max="2" width="12.28515625" customWidth="1"/>
    <col min="3" max="3" width="12.42578125" customWidth="1"/>
    <col min="4" max="4" width="9.7109375" customWidth="1"/>
    <col min="11" max="11" width="13.42578125" customWidth="1"/>
    <col min="12" max="12" width="14.42578125" customWidth="1"/>
    <col min="13" max="13" width="12.42578125" customWidth="1"/>
    <col min="19" max="19" width="5.5703125" customWidth="1"/>
  </cols>
  <sheetData>
    <row r="1" spans="1:23" ht="14.25" customHeight="1">
      <c r="A1" s="574" t="s">
        <v>357</v>
      </c>
      <c r="B1" s="574"/>
      <c r="C1" s="574"/>
      <c r="D1" s="574"/>
      <c r="E1" s="574"/>
      <c r="F1" s="574"/>
      <c r="G1" s="574"/>
      <c r="H1" s="574"/>
      <c r="I1" s="574"/>
      <c r="K1" s="574" t="s">
        <v>358</v>
      </c>
      <c r="L1" s="574"/>
      <c r="M1" s="574"/>
      <c r="N1" s="574"/>
      <c r="O1" s="574"/>
      <c r="P1" s="574"/>
      <c r="Q1" s="574"/>
      <c r="R1" s="574"/>
      <c r="S1" s="574"/>
    </row>
    <row r="3" spans="1:23" ht="14.25" customHeight="1">
      <c r="A3" s="605" t="s">
        <v>349</v>
      </c>
      <c r="B3" s="605"/>
      <c r="C3" s="605"/>
      <c r="K3" s="605" t="s">
        <v>349</v>
      </c>
      <c r="L3" s="605"/>
      <c r="M3" s="605"/>
    </row>
    <row r="4" spans="1:23" ht="14.25" customHeight="1">
      <c r="A4" s="606" t="s">
        <v>350</v>
      </c>
      <c r="B4" s="606"/>
      <c r="C4" s="606"/>
      <c r="K4" s="606" t="s">
        <v>350</v>
      </c>
      <c r="L4" s="606"/>
      <c r="M4" s="606"/>
    </row>
    <row r="5" spans="1:23" ht="14.25" customHeight="1">
      <c r="A5" s="472" t="s">
        <v>12</v>
      </c>
      <c r="B5" s="474">
        <v>1.2E-2</v>
      </c>
      <c r="C5" s="475" t="s">
        <v>351</v>
      </c>
      <c r="K5" s="472" t="s">
        <v>12</v>
      </c>
      <c r="L5" s="474">
        <v>1.2E-2</v>
      </c>
      <c r="M5" s="475" t="s">
        <v>351</v>
      </c>
    </row>
    <row r="6" spans="1:23" ht="14.25" customHeight="1">
      <c r="A6" s="476" t="s">
        <v>35</v>
      </c>
      <c r="B6" s="478">
        <v>1.01</v>
      </c>
      <c r="C6" s="479" t="s">
        <v>352</v>
      </c>
      <c r="K6" s="476" t="s">
        <v>35</v>
      </c>
      <c r="L6" s="478">
        <v>1.01</v>
      </c>
      <c r="M6" s="479" t="s">
        <v>352</v>
      </c>
    </row>
    <row r="7" spans="1:23" ht="14.25" customHeight="1">
      <c r="A7" s="476" t="s">
        <v>14</v>
      </c>
      <c r="B7" s="478">
        <v>0.88</v>
      </c>
      <c r="C7" s="479" t="s">
        <v>351</v>
      </c>
      <c r="K7" s="476" t="s">
        <v>14</v>
      </c>
      <c r="L7" s="478">
        <v>0.88</v>
      </c>
      <c r="M7" s="479" t="s">
        <v>351</v>
      </c>
    </row>
    <row r="8" spans="1:23" ht="14.25" customHeight="1">
      <c r="A8" s="476" t="s">
        <v>16</v>
      </c>
      <c r="B8" s="478">
        <v>4.0999999999999999E-4</v>
      </c>
      <c r="C8" s="479" t="s">
        <v>351</v>
      </c>
      <c r="K8" s="476" t="s">
        <v>16</v>
      </c>
      <c r="L8" s="478">
        <v>4.0999999999999999E-4</v>
      </c>
      <c r="M8" s="479" t="s">
        <v>351</v>
      </c>
    </row>
    <row r="9" spans="1:23" ht="14.25" customHeight="1">
      <c r="A9" s="476" t="s">
        <v>15</v>
      </c>
      <c r="B9" s="478">
        <v>3.3E-3</v>
      </c>
      <c r="C9" s="479" t="s">
        <v>351</v>
      </c>
      <c r="K9" s="476" t="s">
        <v>15</v>
      </c>
      <c r="L9" s="478">
        <v>3.3E-3</v>
      </c>
      <c r="M9" s="479" t="s">
        <v>351</v>
      </c>
    </row>
    <row r="10" spans="1:23" ht="14.25" customHeight="1">
      <c r="A10" s="480" t="s">
        <v>17</v>
      </c>
      <c r="B10" s="482">
        <v>1.4E-5</v>
      </c>
      <c r="C10" s="483" t="s">
        <v>351</v>
      </c>
      <c r="K10" s="480" t="s">
        <v>17</v>
      </c>
      <c r="L10" s="482">
        <v>1.4E-5</v>
      </c>
      <c r="M10" s="483" t="s">
        <v>351</v>
      </c>
    </row>
    <row r="11" spans="1:23" ht="14.25" customHeight="1">
      <c r="A11" s="447" t="s">
        <v>18</v>
      </c>
      <c r="B11" s="448" t="s">
        <v>237</v>
      </c>
      <c r="C11" s="355" t="s">
        <v>236</v>
      </c>
      <c r="D11" s="85"/>
      <c r="E11" s="85"/>
      <c r="F11" s="85"/>
      <c r="G11" s="85"/>
      <c r="H11" s="85"/>
      <c r="I11" s="85"/>
      <c r="K11" s="447" t="s">
        <v>18</v>
      </c>
      <c r="L11" s="448" t="s">
        <v>237</v>
      </c>
      <c r="M11" s="355" t="s">
        <v>236</v>
      </c>
    </row>
    <row r="13" spans="1:23" ht="14.25" customHeight="1">
      <c r="A13" t="s">
        <v>318</v>
      </c>
      <c r="B13" s="158">
        <f>Turbinas!N11</f>
        <v>0</v>
      </c>
      <c r="C13" t="s">
        <v>83</v>
      </c>
      <c r="D13" s="604" t="s">
        <v>359</v>
      </c>
      <c r="E13" s="604"/>
      <c r="F13" s="604"/>
      <c r="G13" s="604"/>
      <c r="H13" s="604"/>
      <c r="K13" t="s">
        <v>318</v>
      </c>
      <c r="L13" s="158">
        <f>Turbinas!O11</f>
        <v>344374</v>
      </c>
      <c r="M13" t="s">
        <v>83</v>
      </c>
      <c r="N13" s="604" t="s">
        <v>359</v>
      </c>
      <c r="O13" s="604"/>
      <c r="P13" s="604"/>
      <c r="Q13" s="604"/>
      <c r="R13" s="604"/>
    </row>
    <row r="14" spans="1:23" ht="14.25" customHeight="1">
      <c r="A14" t="s">
        <v>57</v>
      </c>
      <c r="B14" s="158">
        <f>Turbinas!W11</f>
        <v>0.01</v>
      </c>
      <c r="K14" t="s">
        <v>57</v>
      </c>
      <c r="L14" s="158">
        <f>Turbinas!X11</f>
        <v>0.01</v>
      </c>
      <c r="V14">
        <f>(73.96+0.003*25+0.0006*298)*2.2046*0.138</f>
        <v>22.578420600240001</v>
      </c>
      <c r="W14" t="s">
        <v>123</v>
      </c>
    </row>
    <row r="17" spans="1:19" ht="14.25" customHeight="1">
      <c r="A17" t="s">
        <v>193</v>
      </c>
      <c r="K17" t="s">
        <v>193</v>
      </c>
    </row>
    <row r="19" spans="1:19" ht="14.25" customHeight="1">
      <c r="A19" s="87" t="s">
        <v>86</v>
      </c>
      <c r="B19" s="484">
        <v>1.2E-2</v>
      </c>
      <c r="C19" s="485" t="s">
        <v>87</v>
      </c>
      <c r="D19" s="486">
        <f>B13</f>
        <v>0</v>
      </c>
      <c r="E19" s="485" t="s">
        <v>88</v>
      </c>
      <c r="F19" s="484">
        <v>0.13800000000000001</v>
      </c>
      <c r="G19" s="485" t="s">
        <v>89</v>
      </c>
      <c r="H19" s="602" t="s">
        <v>90</v>
      </c>
      <c r="I19" s="602"/>
      <c r="K19" s="87" t="s">
        <v>86</v>
      </c>
      <c r="L19" s="484">
        <v>1.2E-2</v>
      </c>
      <c r="M19" s="485" t="s">
        <v>87</v>
      </c>
      <c r="N19" s="486">
        <f>L13</f>
        <v>344374</v>
      </c>
      <c r="O19" s="485" t="s">
        <v>88</v>
      </c>
      <c r="P19" s="484">
        <v>0.13800000000000001</v>
      </c>
      <c r="Q19" s="485" t="s">
        <v>89</v>
      </c>
      <c r="R19" s="602" t="s">
        <v>90</v>
      </c>
      <c r="S19" s="602"/>
    </row>
    <row r="20" spans="1:19" ht="14.25" customHeight="1">
      <c r="B20" s="603" t="s">
        <v>89</v>
      </c>
      <c r="C20" s="603"/>
      <c r="D20" s="603" t="s">
        <v>59</v>
      </c>
      <c r="E20" s="603"/>
      <c r="F20" s="603" t="s">
        <v>88</v>
      </c>
      <c r="G20" s="603"/>
      <c r="H20" s="487">
        <v>2000</v>
      </c>
      <c r="I20" t="s">
        <v>87</v>
      </c>
      <c r="L20" s="603" t="s">
        <v>89</v>
      </c>
      <c r="M20" s="603"/>
      <c r="N20" s="603" t="s">
        <v>59</v>
      </c>
      <c r="O20" s="603"/>
      <c r="P20" s="603" t="s">
        <v>88</v>
      </c>
      <c r="Q20" s="603"/>
      <c r="R20" s="487">
        <v>2000</v>
      </c>
      <c r="S20" t="s">
        <v>87</v>
      </c>
    </row>
    <row r="21" spans="1:19" ht="14.25" customHeight="1">
      <c r="B21" s="97"/>
      <c r="C21" s="97"/>
      <c r="D21" s="97"/>
      <c r="E21" s="97"/>
      <c r="F21" s="97"/>
      <c r="G21" s="97"/>
      <c r="L21" s="97"/>
      <c r="M21" s="97"/>
      <c r="N21" s="97"/>
      <c r="O21" s="97"/>
      <c r="P21" s="97"/>
      <c r="Q21" s="97"/>
    </row>
    <row r="23" spans="1:19" ht="14.25" customHeight="1">
      <c r="A23" s="87" t="s">
        <v>86</v>
      </c>
      <c r="B23" s="102">
        <f>(B19*D19*F19)/H20</f>
        <v>0</v>
      </c>
      <c r="C23" s="94" t="s">
        <v>90</v>
      </c>
      <c r="D23" s="87" t="s">
        <v>86</v>
      </c>
      <c r="E23" s="102">
        <f>B23*2000/8760</f>
        <v>0</v>
      </c>
      <c r="F23" s="115" t="s">
        <v>87</v>
      </c>
      <c r="H23" s="81"/>
      <c r="K23" s="87" t="s">
        <v>86</v>
      </c>
      <c r="L23" s="102">
        <f>(L19*N19*P19)/R20</f>
        <v>0.28514167200000001</v>
      </c>
      <c r="M23" s="94" t="s">
        <v>90</v>
      </c>
      <c r="N23" s="87" t="s">
        <v>86</v>
      </c>
      <c r="O23" s="102">
        <f>L23*2000/8760</f>
        <v>6.5100838356164384E-2</v>
      </c>
      <c r="P23" s="115" t="s">
        <v>87</v>
      </c>
      <c r="R23" s="81"/>
    </row>
    <row r="24" spans="1:19" ht="14.25" customHeight="1">
      <c r="C24" s="97" t="s">
        <v>59</v>
      </c>
      <c r="F24" s="118" t="s">
        <v>92</v>
      </c>
      <c r="M24" s="97" t="s">
        <v>59</v>
      </c>
      <c r="P24" s="118" t="s">
        <v>92</v>
      </c>
    </row>
    <row r="25" spans="1:19" ht="14.25" customHeight="1">
      <c r="C25" s="97"/>
      <c r="F25" s="118"/>
      <c r="M25" s="97"/>
      <c r="P25" s="118"/>
    </row>
    <row r="26" spans="1:19" ht="14.25" customHeight="1">
      <c r="C26" s="97"/>
      <c r="F26" s="118"/>
      <c r="M26" s="97"/>
      <c r="P26" s="118"/>
    </row>
    <row r="27" spans="1:19" ht="14.25" customHeight="1">
      <c r="A27" t="s">
        <v>93</v>
      </c>
      <c r="K27" t="s">
        <v>93</v>
      </c>
    </row>
    <row r="29" spans="1:19" ht="14.25" customHeight="1">
      <c r="A29" s="87" t="s">
        <v>86</v>
      </c>
      <c r="B29" s="488">
        <f>B6*B14</f>
        <v>1.01E-2</v>
      </c>
      <c r="C29" s="485" t="s">
        <v>87</v>
      </c>
      <c r="D29" s="486">
        <f>B13</f>
        <v>0</v>
      </c>
      <c r="E29" s="485" t="s">
        <v>88</v>
      </c>
      <c r="F29" s="484">
        <v>0.13800000000000001</v>
      </c>
      <c r="G29" s="485" t="s">
        <v>89</v>
      </c>
      <c r="H29" s="602" t="s">
        <v>90</v>
      </c>
      <c r="I29" s="602"/>
      <c r="K29" s="87" t="s">
        <v>86</v>
      </c>
      <c r="L29" s="488">
        <f>L6*L14</f>
        <v>1.01E-2</v>
      </c>
      <c r="M29" s="485" t="s">
        <v>87</v>
      </c>
      <c r="N29" s="486">
        <f>L13</f>
        <v>344374</v>
      </c>
      <c r="O29" s="485" t="s">
        <v>88</v>
      </c>
      <c r="P29" s="484">
        <v>0.13800000000000001</v>
      </c>
      <c r="Q29" s="485" t="s">
        <v>89</v>
      </c>
      <c r="R29" s="602" t="s">
        <v>90</v>
      </c>
      <c r="S29" s="602"/>
    </row>
    <row r="30" spans="1:19" ht="14.25" customHeight="1">
      <c r="B30" s="603" t="s">
        <v>89</v>
      </c>
      <c r="C30" s="603"/>
      <c r="D30" s="603" t="s">
        <v>59</v>
      </c>
      <c r="E30" s="603"/>
      <c r="F30" s="603" t="s">
        <v>88</v>
      </c>
      <c r="G30" s="603"/>
      <c r="H30" s="487">
        <v>2000</v>
      </c>
      <c r="I30" t="s">
        <v>87</v>
      </c>
      <c r="L30" s="603" t="s">
        <v>89</v>
      </c>
      <c r="M30" s="603"/>
      <c r="N30" s="603" t="s">
        <v>59</v>
      </c>
      <c r="O30" s="603"/>
      <c r="P30" s="603" t="s">
        <v>88</v>
      </c>
      <c r="Q30" s="603"/>
      <c r="R30" s="487">
        <v>2000</v>
      </c>
      <c r="S30" t="s">
        <v>87</v>
      </c>
    </row>
    <row r="31" spans="1:19" ht="14.25" customHeight="1">
      <c r="B31" s="97"/>
      <c r="C31" s="97"/>
      <c r="D31" s="97"/>
      <c r="E31" s="97"/>
      <c r="F31" s="97"/>
      <c r="G31" s="97"/>
      <c r="L31" s="97"/>
      <c r="M31" s="97"/>
      <c r="N31" s="97"/>
      <c r="O31" s="97"/>
      <c r="P31" s="97"/>
      <c r="Q31" s="97"/>
    </row>
    <row r="33" spans="1:19" ht="14.25" customHeight="1">
      <c r="A33" s="87" t="s">
        <v>86</v>
      </c>
      <c r="B33" s="102">
        <f>(B29*D29*F29)/H30</f>
        <v>0</v>
      </c>
      <c r="C33" s="94" t="s">
        <v>90</v>
      </c>
      <c r="D33" s="87" t="s">
        <v>86</v>
      </c>
      <c r="E33" s="102">
        <f>B33*2000/8760</f>
        <v>0</v>
      </c>
      <c r="F33" s="115" t="s">
        <v>87</v>
      </c>
      <c r="H33" s="81"/>
      <c r="K33" s="87" t="s">
        <v>86</v>
      </c>
      <c r="L33" s="100">
        <f>(L29*N29*P29)/R30</f>
        <v>0.23999424060000002</v>
      </c>
      <c r="M33" s="94" t="s">
        <v>90</v>
      </c>
      <c r="N33" s="87" t="s">
        <v>86</v>
      </c>
      <c r="O33" s="100">
        <f>L33*2000/8760</f>
        <v>5.4793205616438356E-2</v>
      </c>
      <c r="P33" s="115" t="s">
        <v>87</v>
      </c>
      <c r="R33" s="81"/>
    </row>
    <row r="34" spans="1:19" ht="14.25" customHeight="1">
      <c r="C34" s="97" t="s">
        <v>59</v>
      </c>
      <c r="F34" s="118" t="s">
        <v>92</v>
      </c>
      <c r="M34" s="97" t="s">
        <v>59</v>
      </c>
      <c r="P34" s="118" t="s">
        <v>92</v>
      </c>
    </row>
    <row r="35" spans="1:19" ht="14.25" customHeight="1">
      <c r="C35" s="97"/>
      <c r="F35" s="118"/>
      <c r="M35" s="97"/>
      <c r="P35" s="118"/>
    </row>
    <row r="36" spans="1:19" ht="14.25" customHeight="1">
      <c r="C36" s="97"/>
      <c r="D36" s="87"/>
      <c r="E36" s="102"/>
      <c r="F36" s="118"/>
      <c r="H36" s="81"/>
      <c r="M36" s="97"/>
      <c r="N36" s="87"/>
      <c r="O36" s="102"/>
      <c r="P36" s="118"/>
      <c r="R36" s="81"/>
    </row>
    <row r="37" spans="1:19" ht="14.25" customHeight="1">
      <c r="A37" t="s">
        <v>94</v>
      </c>
      <c r="K37" t="s">
        <v>94</v>
      </c>
    </row>
    <row r="39" spans="1:19" ht="14.25" customHeight="1">
      <c r="A39" s="87" t="s">
        <v>86</v>
      </c>
      <c r="B39" s="484">
        <v>0.88</v>
      </c>
      <c r="C39" s="485" t="s">
        <v>87</v>
      </c>
      <c r="D39" s="486">
        <f>B13</f>
        <v>0</v>
      </c>
      <c r="E39" s="485" t="s">
        <v>88</v>
      </c>
      <c r="F39" s="484">
        <v>0.13800000000000001</v>
      </c>
      <c r="G39" s="485" t="s">
        <v>89</v>
      </c>
      <c r="H39" s="602" t="s">
        <v>90</v>
      </c>
      <c r="I39" s="602"/>
      <c r="K39" s="87" t="s">
        <v>86</v>
      </c>
      <c r="L39" s="484">
        <v>0.88</v>
      </c>
      <c r="M39" s="485" t="s">
        <v>87</v>
      </c>
      <c r="N39" s="486">
        <f>L13</f>
        <v>344374</v>
      </c>
      <c r="O39" s="485" t="s">
        <v>88</v>
      </c>
      <c r="P39" s="484">
        <v>0.13800000000000001</v>
      </c>
      <c r="Q39" s="485" t="s">
        <v>89</v>
      </c>
      <c r="R39" s="602" t="s">
        <v>90</v>
      </c>
      <c r="S39" s="602"/>
    </row>
    <row r="40" spans="1:19" ht="14.25" customHeight="1">
      <c r="B40" s="603" t="s">
        <v>89</v>
      </c>
      <c r="C40" s="603"/>
      <c r="D40" s="603" t="s">
        <v>59</v>
      </c>
      <c r="E40" s="603"/>
      <c r="F40" s="603" t="s">
        <v>88</v>
      </c>
      <c r="G40" s="603"/>
      <c r="H40" s="487">
        <v>2000</v>
      </c>
      <c r="I40" t="s">
        <v>87</v>
      </c>
      <c r="L40" s="603" t="s">
        <v>89</v>
      </c>
      <c r="M40" s="603"/>
      <c r="N40" s="603" t="s">
        <v>59</v>
      </c>
      <c r="O40" s="603"/>
      <c r="P40" s="603" t="s">
        <v>88</v>
      </c>
      <c r="Q40" s="603"/>
      <c r="R40" s="487">
        <v>2000</v>
      </c>
      <c r="S40" t="s">
        <v>87</v>
      </c>
    </row>
    <row r="41" spans="1:19" ht="14.25" customHeight="1">
      <c r="B41" s="97"/>
      <c r="C41" s="97"/>
      <c r="D41" s="97"/>
      <c r="E41" s="97"/>
      <c r="F41" s="97"/>
      <c r="G41" s="97"/>
      <c r="L41" s="97"/>
      <c r="M41" s="97"/>
      <c r="N41" s="97"/>
      <c r="O41" s="97"/>
      <c r="P41" s="97"/>
      <c r="Q41" s="97"/>
    </row>
    <row r="43" spans="1:19" ht="14.25" customHeight="1">
      <c r="A43" s="87" t="s">
        <v>86</v>
      </c>
      <c r="B43" s="102">
        <f>(B39*D39*F39)/H40</f>
        <v>0</v>
      </c>
      <c r="C43" s="94" t="s">
        <v>90</v>
      </c>
      <c r="D43" s="87" t="s">
        <v>86</v>
      </c>
      <c r="E43" s="102">
        <f>B43*2000/8760</f>
        <v>0</v>
      </c>
      <c r="F43" s="115" t="s">
        <v>87</v>
      </c>
      <c r="H43" s="81"/>
      <c r="K43" s="87" t="s">
        <v>86</v>
      </c>
      <c r="L43" s="93">
        <f>(L39*N39*P39)/R40</f>
        <v>20.910389280000004</v>
      </c>
      <c r="M43" s="94" t="s">
        <v>90</v>
      </c>
      <c r="N43" s="87" t="s">
        <v>86</v>
      </c>
      <c r="O43" s="93">
        <f>L43*2000/8760</f>
        <v>4.7740614794520555</v>
      </c>
      <c r="P43" s="115" t="s">
        <v>87</v>
      </c>
      <c r="R43" s="81"/>
    </row>
    <row r="44" spans="1:19" ht="14.25" customHeight="1">
      <c r="C44" s="97" t="s">
        <v>59</v>
      </c>
      <c r="F44" s="118" t="s">
        <v>92</v>
      </c>
      <c r="M44" s="97" t="s">
        <v>59</v>
      </c>
      <c r="P44" s="118" t="s">
        <v>92</v>
      </c>
    </row>
    <row r="45" spans="1:19" ht="14.25" customHeight="1">
      <c r="C45" s="97"/>
      <c r="F45" s="118"/>
      <c r="M45" s="97"/>
      <c r="P45" s="118"/>
    </row>
    <row r="46" spans="1:19" ht="14.25" customHeight="1">
      <c r="C46" s="97"/>
      <c r="F46" s="118"/>
      <c r="M46" s="97"/>
      <c r="P46" s="118"/>
    </row>
    <row r="47" spans="1:19" ht="14.25" customHeight="1">
      <c r="A47" t="s">
        <v>95</v>
      </c>
      <c r="K47" t="s">
        <v>95</v>
      </c>
    </row>
    <row r="49" spans="1:19" ht="14.25" customHeight="1">
      <c r="A49" s="87" t="s">
        <v>86</v>
      </c>
      <c r="B49" s="484">
        <v>4.0999999999999999E-4</v>
      </c>
      <c r="C49" s="485" t="s">
        <v>87</v>
      </c>
      <c r="D49" s="486">
        <f>B13</f>
        <v>0</v>
      </c>
      <c r="E49" s="485" t="s">
        <v>88</v>
      </c>
      <c r="F49" s="484">
        <v>0.13800000000000001</v>
      </c>
      <c r="G49" s="485" t="s">
        <v>89</v>
      </c>
      <c r="H49" s="602" t="s">
        <v>90</v>
      </c>
      <c r="I49" s="602"/>
      <c r="K49" s="87" t="s">
        <v>86</v>
      </c>
      <c r="L49" s="484">
        <v>4.0999999999999999E-4</v>
      </c>
      <c r="M49" s="485" t="s">
        <v>87</v>
      </c>
      <c r="N49" s="486">
        <f>L13</f>
        <v>344374</v>
      </c>
      <c r="O49" s="485" t="s">
        <v>88</v>
      </c>
      <c r="P49" s="484">
        <v>0.13800000000000001</v>
      </c>
      <c r="Q49" s="485" t="s">
        <v>89</v>
      </c>
      <c r="R49" s="602" t="s">
        <v>90</v>
      </c>
      <c r="S49" s="602"/>
    </row>
    <row r="50" spans="1:19" ht="14.25" customHeight="1">
      <c r="B50" s="603" t="s">
        <v>89</v>
      </c>
      <c r="C50" s="603"/>
      <c r="D50" s="603" t="s">
        <v>59</v>
      </c>
      <c r="E50" s="603"/>
      <c r="F50" s="603" t="s">
        <v>88</v>
      </c>
      <c r="G50" s="603"/>
      <c r="H50" s="487">
        <v>2000</v>
      </c>
      <c r="I50" t="s">
        <v>87</v>
      </c>
      <c r="L50" s="603" t="s">
        <v>89</v>
      </c>
      <c r="M50" s="603"/>
      <c r="N50" s="603" t="s">
        <v>59</v>
      </c>
      <c r="O50" s="603"/>
      <c r="P50" s="603" t="s">
        <v>88</v>
      </c>
      <c r="Q50" s="603"/>
      <c r="R50" s="487">
        <v>2000</v>
      </c>
      <c r="S50" t="s">
        <v>87</v>
      </c>
    </row>
    <row r="51" spans="1:19" ht="14.25" customHeight="1">
      <c r="B51" s="97"/>
      <c r="C51" s="97"/>
      <c r="D51" s="97"/>
      <c r="E51" s="97"/>
      <c r="F51" s="97"/>
      <c r="G51" s="97"/>
      <c r="L51" s="97"/>
      <c r="M51" s="97"/>
      <c r="N51" s="97"/>
      <c r="O51" s="97"/>
      <c r="P51" s="97"/>
      <c r="Q51" s="97"/>
    </row>
    <row r="53" spans="1:19" ht="14.25" customHeight="1">
      <c r="A53" s="87" t="s">
        <v>86</v>
      </c>
      <c r="B53" s="102">
        <f>(B49*D49*F49)/H50</f>
        <v>0</v>
      </c>
      <c r="C53" s="94" t="s">
        <v>90</v>
      </c>
      <c r="D53" s="87" t="s">
        <v>86</v>
      </c>
      <c r="E53" s="102">
        <f>B53*2000/8760</f>
        <v>0</v>
      </c>
      <c r="F53" s="115" t="s">
        <v>87</v>
      </c>
      <c r="H53" s="81"/>
      <c r="K53" s="87" t="s">
        <v>86</v>
      </c>
      <c r="L53" s="102">
        <f>(L49*N49*P49)/R50</f>
        <v>9.742340460000002E-3</v>
      </c>
      <c r="M53" s="94" t="s">
        <v>90</v>
      </c>
      <c r="N53" s="87" t="s">
        <v>86</v>
      </c>
      <c r="O53" s="102">
        <f>L53*2000/8760</f>
        <v>2.2242786438356169E-3</v>
      </c>
      <c r="P53" s="115" t="s">
        <v>87</v>
      </c>
      <c r="R53" s="81"/>
    </row>
    <row r="54" spans="1:19" ht="14.25" customHeight="1">
      <c r="C54" s="97" t="s">
        <v>59</v>
      </c>
      <c r="F54" s="118" t="s">
        <v>92</v>
      </c>
      <c r="M54" s="97" t="s">
        <v>59</v>
      </c>
      <c r="P54" s="118" t="s">
        <v>92</v>
      </c>
    </row>
    <row r="55" spans="1:19" ht="14.25" customHeight="1">
      <c r="C55" s="97"/>
      <c r="F55" s="118"/>
      <c r="M55" s="97"/>
      <c r="P55" s="118"/>
    </row>
    <row r="56" spans="1:19" ht="14.25" customHeight="1">
      <c r="D56" s="87"/>
      <c r="E56" s="102"/>
      <c r="F56" s="118"/>
      <c r="H56" s="81"/>
      <c r="N56" s="87"/>
      <c r="O56" s="102"/>
      <c r="P56" s="118"/>
      <c r="R56" s="81"/>
    </row>
    <row r="57" spans="1:19" ht="14.25" customHeight="1">
      <c r="A57" t="s">
        <v>96</v>
      </c>
      <c r="D57" s="87"/>
      <c r="E57" s="102"/>
      <c r="H57" s="81"/>
      <c r="K57" t="s">
        <v>96</v>
      </c>
      <c r="N57" s="87"/>
      <c r="O57" s="102"/>
      <c r="R57" s="81"/>
    </row>
    <row r="59" spans="1:19" ht="14.25" customHeight="1">
      <c r="A59" s="87" t="s">
        <v>86</v>
      </c>
      <c r="B59" s="484">
        <v>3.3E-3</v>
      </c>
      <c r="C59" s="485" t="s">
        <v>87</v>
      </c>
      <c r="D59" s="486">
        <f>B13</f>
        <v>0</v>
      </c>
      <c r="E59" s="485" t="s">
        <v>88</v>
      </c>
      <c r="F59" s="484">
        <v>0.13800000000000001</v>
      </c>
      <c r="G59" s="485" t="s">
        <v>89</v>
      </c>
      <c r="H59" s="602" t="s">
        <v>90</v>
      </c>
      <c r="I59" s="602"/>
      <c r="K59" s="87" t="s">
        <v>86</v>
      </c>
      <c r="L59" s="484">
        <v>3.3E-3</v>
      </c>
      <c r="M59" s="485" t="s">
        <v>87</v>
      </c>
      <c r="N59" s="486">
        <f>L13</f>
        <v>344374</v>
      </c>
      <c r="O59" s="485" t="s">
        <v>88</v>
      </c>
      <c r="P59" s="484">
        <v>0.13800000000000001</v>
      </c>
      <c r="Q59" s="485" t="s">
        <v>89</v>
      </c>
      <c r="R59" s="602" t="s">
        <v>90</v>
      </c>
      <c r="S59" s="602"/>
    </row>
    <row r="60" spans="1:19" ht="14.25" customHeight="1">
      <c r="B60" s="603" t="s">
        <v>89</v>
      </c>
      <c r="C60" s="603"/>
      <c r="D60" s="603" t="s">
        <v>59</v>
      </c>
      <c r="E60" s="603"/>
      <c r="F60" s="603" t="s">
        <v>88</v>
      </c>
      <c r="G60" s="603"/>
      <c r="H60" s="487">
        <v>2000</v>
      </c>
      <c r="I60" t="s">
        <v>87</v>
      </c>
      <c r="L60" s="603" t="s">
        <v>89</v>
      </c>
      <c r="M60" s="603"/>
      <c r="N60" s="603" t="s">
        <v>59</v>
      </c>
      <c r="O60" s="603"/>
      <c r="P60" s="603" t="s">
        <v>88</v>
      </c>
      <c r="Q60" s="603"/>
      <c r="R60" s="487">
        <v>2000</v>
      </c>
      <c r="S60" t="s">
        <v>87</v>
      </c>
    </row>
    <row r="61" spans="1:19" ht="14.25" customHeight="1">
      <c r="B61" s="97"/>
      <c r="C61" s="97"/>
      <c r="D61" s="97"/>
      <c r="E61" s="97"/>
      <c r="F61" s="97"/>
      <c r="G61" s="97"/>
      <c r="L61" s="97"/>
      <c r="M61" s="97"/>
      <c r="N61" s="97"/>
      <c r="O61" s="97"/>
      <c r="P61" s="97"/>
      <c r="Q61" s="97"/>
    </row>
    <row r="63" spans="1:19" ht="14.25" customHeight="1">
      <c r="A63" s="87" t="s">
        <v>86</v>
      </c>
      <c r="B63" s="102">
        <f>(B59*D59*F59)/H60</f>
        <v>0</v>
      </c>
      <c r="C63" s="94" t="s">
        <v>90</v>
      </c>
      <c r="D63" s="87" t="s">
        <v>86</v>
      </c>
      <c r="E63" s="102">
        <f>B63*2000/8760</f>
        <v>0</v>
      </c>
      <c r="F63" s="115" t="s">
        <v>87</v>
      </c>
      <c r="H63" s="81"/>
      <c r="K63" s="87" t="s">
        <v>86</v>
      </c>
      <c r="L63" s="102">
        <f>(L59*N59*P59)/R60</f>
        <v>7.8413959800000002E-2</v>
      </c>
      <c r="M63" s="94" t="s">
        <v>90</v>
      </c>
      <c r="N63" s="87" t="s">
        <v>86</v>
      </c>
      <c r="O63" s="102">
        <f>L63*2000/8760</f>
        <v>1.7902730547945205E-2</v>
      </c>
      <c r="P63" s="115" t="s">
        <v>87</v>
      </c>
      <c r="R63" s="81"/>
    </row>
    <row r="64" spans="1:19" ht="14.25" customHeight="1">
      <c r="C64" s="97" t="s">
        <v>59</v>
      </c>
      <c r="F64" s="118" t="s">
        <v>92</v>
      </c>
      <c r="M64" s="97" t="s">
        <v>59</v>
      </c>
      <c r="P64" s="118" t="s">
        <v>92</v>
      </c>
    </row>
    <row r="65" spans="1:19" ht="14.25" customHeight="1">
      <c r="C65" s="97"/>
      <c r="F65" s="118"/>
      <c r="M65" s="97"/>
      <c r="P65" s="118"/>
    </row>
    <row r="67" spans="1:19" ht="14.25" customHeight="1">
      <c r="A67" t="s">
        <v>97</v>
      </c>
      <c r="K67" t="s">
        <v>97</v>
      </c>
    </row>
    <row r="69" spans="1:19" ht="14.25" customHeight="1">
      <c r="A69" s="87" t="s">
        <v>86</v>
      </c>
      <c r="B69" s="484">
        <v>1.4E-5</v>
      </c>
      <c r="C69" s="485" t="s">
        <v>87</v>
      </c>
      <c r="D69" s="486">
        <f>B13</f>
        <v>0</v>
      </c>
      <c r="E69" s="485" t="s">
        <v>88</v>
      </c>
      <c r="F69" s="484">
        <v>0.13800000000000001</v>
      </c>
      <c r="G69" s="485" t="s">
        <v>89</v>
      </c>
      <c r="H69" s="602" t="s">
        <v>90</v>
      </c>
      <c r="I69" s="602"/>
      <c r="K69" s="87" t="s">
        <v>86</v>
      </c>
      <c r="L69" s="484">
        <v>1.4E-5</v>
      </c>
      <c r="M69" s="485" t="s">
        <v>87</v>
      </c>
      <c r="N69" s="486">
        <f>L13</f>
        <v>344374</v>
      </c>
      <c r="O69" s="485" t="s">
        <v>88</v>
      </c>
      <c r="P69" s="484">
        <v>0.13800000000000001</v>
      </c>
      <c r="Q69" s="485" t="s">
        <v>89</v>
      </c>
      <c r="R69" s="602" t="s">
        <v>90</v>
      </c>
      <c r="S69" s="602"/>
    </row>
    <row r="70" spans="1:19" ht="14.25" customHeight="1">
      <c r="B70" s="603" t="s">
        <v>89</v>
      </c>
      <c r="C70" s="603"/>
      <c r="D70" s="603" t="s">
        <v>59</v>
      </c>
      <c r="E70" s="603"/>
      <c r="F70" s="603" t="s">
        <v>88</v>
      </c>
      <c r="G70" s="603"/>
      <c r="H70" s="487">
        <v>2000</v>
      </c>
      <c r="I70" t="s">
        <v>87</v>
      </c>
      <c r="L70" s="603" t="s">
        <v>89</v>
      </c>
      <c r="M70" s="603"/>
      <c r="N70" s="603" t="s">
        <v>59</v>
      </c>
      <c r="O70" s="603"/>
      <c r="P70" s="603" t="s">
        <v>88</v>
      </c>
      <c r="Q70" s="603"/>
      <c r="R70" s="487">
        <v>2000</v>
      </c>
      <c r="S70" t="s">
        <v>87</v>
      </c>
    </row>
    <row r="71" spans="1:19" ht="14.25" customHeight="1">
      <c r="B71" s="97"/>
      <c r="C71" s="97"/>
      <c r="D71" s="97"/>
      <c r="E71" s="97"/>
      <c r="F71" s="97"/>
      <c r="G71" s="97"/>
      <c r="L71" s="97"/>
      <c r="M71" s="97"/>
      <c r="N71" s="97"/>
      <c r="O71" s="97"/>
      <c r="P71" s="97"/>
      <c r="Q71" s="97"/>
    </row>
    <row r="73" spans="1:19" ht="14.25" customHeight="1">
      <c r="A73" s="87" t="s">
        <v>86</v>
      </c>
      <c r="B73" s="102">
        <f>(B69*D69*F69)/H70</f>
        <v>0</v>
      </c>
      <c r="C73" s="94" t="s">
        <v>90</v>
      </c>
      <c r="D73" s="87" t="s">
        <v>86</v>
      </c>
      <c r="E73" s="102">
        <f>B73*2000/8760</f>
        <v>0</v>
      </c>
      <c r="F73" s="115" t="s">
        <v>87</v>
      </c>
      <c r="H73" s="81"/>
      <c r="K73" s="87" t="s">
        <v>86</v>
      </c>
      <c r="L73" s="102">
        <f>(L69*N69*P69)/R70</f>
        <v>3.32665284E-4</v>
      </c>
      <c r="M73" s="94" t="s">
        <v>90</v>
      </c>
      <c r="N73" s="87" t="s">
        <v>86</v>
      </c>
      <c r="O73" s="102">
        <f>L73*2000/8760</f>
        <v>7.5950978082191779E-5</v>
      </c>
      <c r="P73" s="115" t="s">
        <v>87</v>
      </c>
      <c r="R73" s="81"/>
    </row>
    <row r="74" spans="1:19" ht="14.25" customHeight="1">
      <c r="A74" s="87"/>
      <c r="C74" s="97" t="s">
        <v>59</v>
      </c>
      <c r="F74" s="118" t="s">
        <v>92</v>
      </c>
      <c r="K74" s="87"/>
      <c r="M74" s="97" t="s">
        <v>59</v>
      </c>
      <c r="P74" s="118" t="s">
        <v>92</v>
      </c>
    </row>
    <row r="77" spans="1:19" ht="14.25" customHeight="1">
      <c r="A77" s="85" t="s">
        <v>98</v>
      </c>
      <c r="B77" s="85"/>
      <c r="C77" s="85"/>
      <c r="D77" s="85"/>
      <c r="E77" s="85"/>
      <c r="F77" s="85"/>
      <c r="G77" s="85"/>
      <c r="K77" s="85" t="s">
        <v>98</v>
      </c>
      <c r="L77" s="85"/>
      <c r="M77" s="85"/>
      <c r="N77" s="85"/>
      <c r="O77" s="85"/>
      <c r="P77" s="85"/>
      <c r="Q77" s="85"/>
    </row>
    <row r="79" spans="1:19" ht="14.25" customHeight="1">
      <c r="A79" s="108" t="s">
        <v>86</v>
      </c>
      <c r="B79" s="449">
        <f>V14</f>
        <v>22.578420600240001</v>
      </c>
      <c r="C79" s="349" t="s">
        <v>87</v>
      </c>
      <c r="D79" s="361">
        <f>D69</f>
        <v>0</v>
      </c>
      <c r="E79" s="349" t="s">
        <v>88</v>
      </c>
      <c r="F79" s="556"/>
      <c r="G79" s="362" t="s">
        <v>90</v>
      </c>
      <c r="K79" s="108" t="s">
        <v>86</v>
      </c>
      <c r="L79" s="449">
        <f>V14</f>
        <v>22.578420600240001</v>
      </c>
      <c r="M79" s="349" t="s">
        <v>87</v>
      </c>
      <c r="N79" s="361">
        <f>N69</f>
        <v>344374</v>
      </c>
      <c r="O79" s="349" t="s">
        <v>88</v>
      </c>
      <c r="P79" s="556"/>
      <c r="Q79" s="362" t="s">
        <v>90</v>
      </c>
    </row>
    <row r="80" spans="1:19" ht="14.25" customHeight="1">
      <c r="A80" s="85"/>
      <c r="B80" s="363"/>
      <c r="C80" s="364" t="s">
        <v>88</v>
      </c>
      <c r="D80" s="557"/>
      <c r="E80" s="226" t="s">
        <v>59</v>
      </c>
      <c r="F80" s="235">
        <v>2000</v>
      </c>
      <c r="G80" s="365" t="s">
        <v>87</v>
      </c>
      <c r="K80" s="85"/>
      <c r="L80" s="363"/>
      <c r="M80" s="364" t="s">
        <v>88</v>
      </c>
      <c r="N80" s="557"/>
      <c r="O80" s="226" t="s">
        <v>59</v>
      </c>
      <c r="P80" s="235">
        <v>2000</v>
      </c>
      <c r="Q80" s="365" t="s">
        <v>87</v>
      </c>
    </row>
    <row r="83" spans="1:17" ht="14.25" customHeight="1">
      <c r="A83" s="108" t="s">
        <v>86</v>
      </c>
      <c r="B83" s="369">
        <f>B79*D79/F80</f>
        <v>0</v>
      </c>
      <c r="C83" s="115" t="s">
        <v>90</v>
      </c>
      <c r="D83" s="108" t="s">
        <v>86</v>
      </c>
      <c r="E83" s="369">
        <f>B83*(2000/8760)</f>
        <v>0</v>
      </c>
      <c r="F83" s="115" t="s">
        <v>87</v>
      </c>
      <c r="G83" s="85"/>
      <c r="K83" s="108" t="s">
        <v>86</v>
      </c>
      <c r="L83" s="369">
        <f>L79*N79/P80</f>
        <v>3887.7105078935251</v>
      </c>
      <c r="M83" s="115" t="s">
        <v>90</v>
      </c>
      <c r="N83" s="108" t="s">
        <v>86</v>
      </c>
      <c r="O83" s="369">
        <f>L83*(2000/8760)</f>
        <v>887.60513878847598</v>
      </c>
      <c r="P83" s="115" t="s">
        <v>87</v>
      </c>
      <c r="Q83" s="85"/>
    </row>
    <row r="84" spans="1:17" ht="14.25" customHeight="1">
      <c r="A84" s="85"/>
      <c r="B84" s="85"/>
      <c r="C84" s="118" t="s">
        <v>59</v>
      </c>
      <c r="D84" s="85"/>
      <c r="E84" s="85"/>
      <c r="F84" s="118" t="s">
        <v>92</v>
      </c>
      <c r="G84" s="85"/>
      <c r="K84" s="85"/>
      <c r="L84" s="85"/>
      <c r="M84" s="118" t="s">
        <v>59</v>
      </c>
      <c r="N84" s="85"/>
      <c r="O84" s="85"/>
      <c r="P84" s="118" t="s">
        <v>92</v>
      </c>
      <c r="Q84" s="85"/>
    </row>
  </sheetData>
  <mergeCells count="56">
    <mergeCell ref="A1:I1"/>
    <mergeCell ref="K1:S1"/>
    <mergeCell ref="A3:C3"/>
    <mergeCell ref="K3:M3"/>
    <mergeCell ref="A4:C4"/>
    <mergeCell ref="K4:M4"/>
    <mergeCell ref="D13:H13"/>
    <mergeCell ref="N13:R13"/>
    <mergeCell ref="H19:I19"/>
    <mergeCell ref="R19:S19"/>
    <mergeCell ref="B20:C20"/>
    <mergeCell ref="D20:E20"/>
    <mergeCell ref="F20:G20"/>
    <mergeCell ref="L20:M20"/>
    <mergeCell ref="N20:O20"/>
    <mergeCell ref="P20:Q20"/>
    <mergeCell ref="H29:I29"/>
    <mergeCell ref="R29:S29"/>
    <mergeCell ref="B30:C30"/>
    <mergeCell ref="D30:E30"/>
    <mergeCell ref="F30:G30"/>
    <mergeCell ref="L30:M30"/>
    <mergeCell ref="N30:O30"/>
    <mergeCell ref="P30:Q30"/>
    <mergeCell ref="H39:I39"/>
    <mergeCell ref="R39:S39"/>
    <mergeCell ref="B40:C40"/>
    <mergeCell ref="D40:E40"/>
    <mergeCell ref="F40:G40"/>
    <mergeCell ref="L40:M40"/>
    <mergeCell ref="N40:O40"/>
    <mergeCell ref="P40:Q40"/>
    <mergeCell ref="H49:I49"/>
    <mergeCell ref="R49:S49"/>
    <mergeCell ref="B50:C50"/>
    <mergeCell ref="D50:E50"/>
    <mergeCell ref="F50:G50"/>
    <mergeCell ref="L50:M50"/>
    <mergeCell ref="N50:O50"/>
    <mergeCell ref="P50:Q50"/>
    <mergeCell ref="H59:I59"/>
    <mergeCell ref="R59:S59"/>
    <mergeCell ref="B60:C60"/>
    <mergeCell ref="D60:E60"/>
    <mergeCell ref="F60:G60"/>
    <mergeCell ref="L60:M60"/>
    <mergeCell ref="N60:O60"/>
    <mergeCell ref="P60:Q60"/>
    <mergeCell ref="H69:I69"/>
    <mergeCell ref="R69:S69"/>
    <mergeCell ref="B70:C70"/>
    <mergeCell ref="D70:E70"/>
    <mergeCell ref="F70:G70"/>
    <mergeCell ref="L70:M70"/>
    <mergeCell ref="N70:O70"/>
    <mergeCell ref="P70:Q70"/>
  </mergeCells>
  <pageMargins left="0.7" right="0.7" top="0.75" bottom="0.75" header="0.511811023622047" footer="0.511811023622047"/>
  <pageSetup paperSize="9" orientation="portrait" horizontalDpi="300" verticalDpi="30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AP77"/>
  <sheetViews>
    <sheetView zoomScaleNormal="100" workbookViewId="0"/>
  </sheetViews>
  <sheetFormatPr defaultColWidth="8.7109375" defaultRowHeight="15"/>
  <cols>
    <col min="1" max="1" width="12.42578125" customWidth="1"/>
    <col min="2" max="2" width="18.42578125" customWidth="1"/>
    <col min="3" max="3" width="8.140625" customWidth="1"/>
    <col min="4" max="4" width="10.7109375" customWidth="1"/>
    <col min="5" max="5" width="7.28515625" customWidth="1"/>
    <col min="7" max="7" width="7.140625" customWidth="1"/>
    <col min="8" max="8" width="6.5703125" customWidth="1"/>
    <col min="9" max="9" width="4.28515625" customWidth="1"/>
    <col min="10" max="10" width="4.5703125" customWidth="1"/>
    <col min="11" max="11" width="11.42578125" customWidth="1"/>
    <col min="12" max="12" width="12.85546875" customWidth="1"/>
    <col min="15" max="15" width="7.5703125" customWidth="1"/>
    <col min="16" max="16" width="6.7109375" customWidth="1"/>
    <col min="18" max="18" width="5.5703125" customWidth="1"/>
    <col min="19" max="19" width="4.85546875" customWidth="1"/>
    <col min="21" max="21" width="13.140625" customWidth="1"/>
    <col min="22" max="22" width="11.5703125" customWidth="1"/>
    <col min="25" max="25" width="7.140625" customWidth="1"/>
    <col min="27" max="27" width="7.7109375" customWidth="1"/>
    <col min="28" max="28" width="6.5703125" customWidth="1"/>
    <col min="29" max="30" width="5.5703125" customWidth="1"/>
    <col min="31" max="31" width="10.85546875" customWidth="1"/>
    <col min="32" max="32" width="15" customWidth="1"/>
    <col min="33" max="33" width="8.42578125" customWidth="1"/>
    <col min="35" max="35" width="7.85546875" customWidth="1"/>
    <col min="37" max="37" width="8" customWidth="1"/>
    <col min="38" max="38" width="7.85546875" customWidth="1"/>
    <col min="39" max="39" width="5.5703125" customWidth="1"/>
  </cols>
  <sheetData>
    <row r="1" spans="1:42" ht="14.25" customHeight="1">
      <c r="A1" s="574" t="s">
        <v>360</v>
      </c>
      <c r="B1" s="574"/>
      <c r="C1" s="574"/>
      <c r="D1" s="574"/>
      <c r="E1" s="574"/>
      <c r="F1" s="574"/>
      <c r="G1" s="574"/>
      <c r="H1" s="574"/>
      <c r="I1" s="574"/>
      <c r="J1" s="81"/>
      <c r="K1" s="574" t="s">
        <v>361</v>
      </c>
      <c r="L1" s="574"/>
      <c r="M1" s="574"/>
      <c r="N1" s="574"/>
      <c r="O1" s="574"/>
      <c r="P1" s="574"/>
      <c r="Q1" s="574"/>
      <c r="R1" s="574"/>
      <c r="S1" s="574"/>
      <c r="U1" s="574" t="s">
        <v>362</v>
      </c>
      <c r="V1" s="574"/>
      <c r="W1" s="574"/>
      <c r="X1" s="574"/>
      <c r="Y1" s="574"/>
      <c r="Z1" s="574"/>
      <c r="AA1" s="574"/>
      <c r="AB1" s="574"/>
      <c r="AC1" s="574"/>
      <c r="AE1" s="574" t="s">
        <v>363</v>
      </c>
      <c r="AF1" s="574"/>
      <c r="AG1" s="574"/>
      <c r="AH1" s="574"/>
      <c r="AI1" s="574"/>
      <c r="AJ1" s="574"/>
      <c r="AK1" s="574"/>
      <c r="AL1" s="574"/>
      <c r="AM1" s="574"/>
    </row>
    <row r="3" spans="1:42" ht="14.25" customHeight="1">
      <c r="A3" s="574" t="s">
        <v>364</v>
      </c>
      <c r="B3" s="574"/>
      <c r="C3" s="81"/>
      <c r="D3" s="85"/>
      <c r="E3" s="85"/>
      <c r="F3" s="85"/>
      <c r="G3" s="85"/>
      <c r="H3" s="85"/>
      <c r="I3" s="85"/>
      <c r="J3" s="85"/>
      <c r="K3" s="588" t="s">
        <v>364</v>
      </c>
      <c r="L3" s="588"/>
      <c r="M3" s="494"/>
      <c r="N3" s="226"/>
      <c r="O3" s="226"/>
      <c r="P3" s="226"/>
      <c r="Q3" s="226"/>
      <c r="R3" s="226"/>
      <c r="S3" s="226"/>
      <c r="T3" s="495"/>
      <c r="U3" s="588" t="s">
        <v>364</v>
      </c>
      <c r="V3" s="588"/>
      <c r="W3" s="81"/>
      <c r="X3" s="85"/>
      <c r="Y3" s="85"/>
      <c r="Z3" s="85"/>
      <c r="AA3" s="85"/>
      <c r="AB3" s="85"/>
      <c r="AC3" s="85"/>
      <c r="AE3" s="588" t="s">
        <v>364</v>
      </c>
      <c r="AF3" s="588"/>
      <c r="AG3" s="81"/>
      <c r="AH3" s="85"/>
      <c r="AI3" s="85"/>
      <c r="AJ3" s="85"/>
      <c r="AK3" s="85"/>
      <c r="AL3" s="85"/>
      <c r="AM3" s="85"/>
    </row>
    <row r="4" spans="1:42" ht="14.25" customHeight="1">
      <c r="A4" s="81" t="s">
        <v>11</v>
      </c>
      <c r="B4" s="85" t="s">
        <v>74</v>
      </c>
      <c r="C4" s="85"/>
      <c r="D4" s="85"/>
      <c r="E4" s="85"/>
      <c r="F4" s="85"/>
      <c r="G4" s="85"/>
      <c r="H4" s="85"/>
      <c r="I4" s="85"/>
      <c r="J4" s="85"/>
      <c r="K4" s="81" t="s">
        <v>11</v>
      </c>
      <c r="L4" s="85" t="s">
        <v>74</v>
      </c>
      <c r="M4" s="85"/>
      <c r="N4" s="85"/>
      <c r="O4" s="85"/>
      <c r="P4" s="85"/>
      <c r="Q4" s="85"/>
      <c r="R4" s="85"/>
      <c r="S4" s="85"/>
      <c r="U4" s="81" t="s">
        <v>11</v>
      </c>
      <c r="V4" s="85" t="s">
        <v>74</v>
      </c>
      <c r="W4" s="85"/>
      <c r="X4" s="85"/>
      <c r="Y4" s="85"/>
      <c r="Z4" s="85"/>
      <c r="AA4" s="85"/>
      <c r="AB4" s="85"/>
      <c r="AC4" s="85"/>
      <c r="AE4" s="81" t="s">
        <v>11</v>
      </c>
      <c r="AF4" s="85" t="s">
        <v>74</v>
      </c>
      <c r="AG4" s="85"/>
      <c r="AH4" s="85"/>
      <c r="AI4" s="85"/>
      <c r="AJ4" s="85"/>
      <c r="AK4" s="85"/>
      <c r="AL4" s="85"/>
      <c r="AM4" s="85"/>
    </row>
    <row r="5" spans="1:42" ht="14.25" customHeight="1">
      <c r="A5" s="81" t="s">
        <v>35</v>
      </c>
      <c r="B5" s="85" t="s">
        <v>75</v>
      </c>
      <c r="C5" s="85"/>
      <c r="D5" s="85"/>
      <c r="E5" s="85"/>
      <c r="F5" s="85"/>
      <c r="G5" s="85"/>
      <c r="H5" s="85"/>
      <c r="I5" s="85"/>
      <c r="J5" s="85"/>
      <c r="K5" s="81" t="s">
        <v>35</v>
      </c>
      <c r="L5" s="85" t="s">
        <v>75</v>
      </c>
      <c r="M5" s="85"/>
      <c r="N5" s="85"/>
      <c r="O5" s="85"/>
      <c r="P5" s="85"/>
      <c r="Q5" s="85"/>
      <c r="R5" s="85"/>
      <c r="S5" s="85"/>
      <c r="U5" s="81" t="s">
        <v>35</v>
      </c>
      <c r="V5" s="85" t="s">
        <v>75</v>
      </c>
      <c r="W5" s="85"/>
      <c r="X5" s="85"/>
      <c r="Y5" s="85"/>
      <c r="Z5" s="85"/>
      <c r="AA5" s="85"/>
      <c r="AB5" s="85"/>
      <c r="AC5" s="85"/>
      <c r="AE5" s="81" t="s">
        <v>35</v>
      </c>
      <c r="AF5" s="85" t="s">
        <v>75</v>
      </c>
      <c r="AG5" s="85"/>
      <c r="AH5" s="85"/>
      <c r="AI5" s="85"/>
      <c r="AJ5" s="85"/>
      <c r="AK5" s="85"/>
      <c r="AL5" s="85"/>
      <c r="AM5" s="85"/>
    </row>
    <row r="6" spans="1:42" ht="14.25" customHeight="1">
      <c r="A6" s="81" t="s">
        <v>14</v>
      </c>
      <c r="B6" s="85" t="s">
        <v>365</v>
      </c>
      <c r="C6" s="85" t="s">
        <v>366</v>
      </c>
      <c r="D6" s="496"/>
      <c r="E6" s="85"/>
      <c r="F6" s="85"/>
      <c r="G6" s="85"/>
      <c r="H6" s="85"/>
      <c r="I6" s="85"/>
      <c r="J6" s="85"/>
      <c r="K6" s="81" t="s">
        <v>14</v>
      </c>
      <c r="L6" s="85" t="s">
        <v>365</v>
      </c>
      <c r="M6" s="85"/>
      <c r="N6" s="85" t="s">
        <v>366</v>
      </c>
      <c r="O6" s="85"/>
      <c r="P6" s="85"/>
      <c r="Q6" s="85"/>
      <c r="R6" s="85"/>
      <c r="S6" s="85"/>
      <c r="U6" s="81" t="s">
        <v>14</v>
      </c>
      <c r="V6" s="85" t="s">
        <v>365</v>
      </c>
      <c r="W6" s="85"/>
      <c r="X6" s="85" t="s">
        <v>366</v>
      </c>
      <c r="Y6" s="85"/>
      <c r="Z6" s="85"/>
      <c r="AA6" s="85"/>
      <c r="AB6" s="85"/>
      <c r="AC6" s="85"/>
      <c r="AE6" s="81" t="s">
        <v>14</v>
      </c>
      <c r="AF6" s="85" t="s">
        <v>365</v>
      </c>
      <c r="AG6" s="85"/>
      <c r="AH6" s="85" t="s">
        <v>366</v>
      </c>
      <c r="AI6" s="85"/>
      <c r="AJ6" s="85"/>
      <c r="AK6" s="85"/>
      <c r="AL6" s="85"/>
      <c r="AM6" s="85"/>
    </row>
    <row r="7" spans="1:42" ht="14.25" customHeight="1">
      <c r="A7" s="81" t="s">
        <v>16</v>
      </c>
      <c r="B7" s="85" t="s">
        <v>77</v>
      </c>
      <c r="C7" s="85"/>
      <c r="D7" s="85"/>
      <c r="E7" s="85"/>
      <c r="F7" s="85"/>
      <c r="G7" s="85"/>
      <c r="H7" s="85"/>
      <c r="I7" s="85"/>
      <c r="J7" s="85"/>
      <c r="K7" s="81" t="s">
        <v>16</v>
      </c>
      <c r="L7" s="85" t="s">
        <v>77</v>
      </c>
      <c r="M7" s="85"/>
      <c r="N7" s="85"/>
      <c r="O7" s="85"/>
      <c r="P7" s="85"/>
      <c r="Q7" s="85"/>
      <c r="R7" s="85"/>
      <c r="S7" s="85"/>
      <c r="U7" s="81" t="s">
        <v>16</v>
      </c>
      <c r="V7" s="85" t="s">
        <v>77</v>
      </c>
      <c r="W7" s="85"/>
      <c r="X7" s="85"/>
      <c r="Y7" s="85"/>
      <c r="Z7" s="85"/>
      <c r="AA7" s="85"/>
      <c r="AB7" s="85"/>
      <c r="AC7" s="85"/>
      <c r="AE7" s="81" t="s">
        <v>16</v>
      </c>
      <c r="AF7" s="85" t="s">
        <v>77</v>
      </c>
      <c r="AG7" s="85"/>
      <c r="AH7" s="85"/>
      <c r="AI7" s="85"/>
      <c r="AJ7" s="85"/>
      <c r="AK7" s="85"/>
      <c r="AL7" s="85"/>
      <c r="AM7" s="85"/>
    </row>
    <row r="8" spans="1:42" ht="14.25" customHeight="1">
      <c r="A8" s="81" t="s">
        <v>15</v>
      </c>
      <c r="B8" s="85" t="s">
        <v>79</v>
      </c>
      <c r="C8" s="85"/>
      <c r="D8" s="85"/>
      <c r="E8" s="85"/>
      <c r="F8" s="85"/>
      <c r="G8" s="85"/>
      <c r="H8" s="85"/>
      <c r="I8" s="85"/>
      <c r="J8" s="85"/>
      <c r="K8" s="81" t="s">
        <v>15</v>
      </c>
      <c r="L8" s="85" t="s">
        <v>79</v>
      </c>
      <c r="M8" s="85"/>
      <c r="N8" s="85"/>
      <c r="O8" s="85"/>
      <c r="P8" s="85"/>
      <c r="Q8" s="85"/>
      <c r="R8" s="85"/>
      <c r="S8" s="85"/>
      <c r="U8" s="81" t="s">
        <v>15</v>
      </c>
      <c r="V8" s="85" t="s">
        <v>79</v>
      </c>
      <c r="W8" s="85"/>
      <c r="X8" s="85"/>
      <c r="Y8" s="85"/>
      <c r="Z8" s="85"/>
      <c r="AA8" s="85"/>
      <c r="AB8" s="85"/>
      <c r="AC8" s="85"/>
      <c r="AE8" s="81" t="s">
        <v>15</v>
      </c>
      <c r="AF8" s="85" t="s">
        <v>79</v>
      </c>
      <c r="AG8" s="85"/>
      <c r="AH8" s="85"/>
      <c r="AI8" s="85"/>
      <c r="AJ8" s="85"/>
      <c r="AK8" s="85"/>
      <c r="AL8" s="85"/>
      <c r="AM8" s="85"/>
    </row>
    <row r="9" spans="1:42" ht="14.25" customHeight="1">
      <c r="A9" s="497" t="s">
        <v>17</v>
      </c>
      <c r="B9" s="85" t="s">
        <v>268</v>
      </c>
      <c r="C9" s="85"/>
      <c r="D9" s="85"/>
      <c r="E9" s="85"/>
      <c r="F9" s="85"/>
      <c r="G9" s="85"/>
      <c r="H9" s="85"/>
      <c r="I9" s="85"/>
      <c r="J9" s="85"/>
      <c r="K9" s="497" t="s">
        <v>17</v>
      </c>
      <c r="L9" s="85" t="s">
        <v>268</v>
      </c>
      <c r="M9" s="85"/>
      <c r="N9" s="85"/>
      <c r="O9" s="85"/>
      <c r="P9" s="85"/>
      <c r="Q9" s="85"/>
      <c r="R9" s="85"/>
      <c r="S9" s="85"/>
      <c r="U9" s="497" t="s">
        <v>17</v>
      </c>
      <c r="V9" s="85" t="s">
        <v>268</v>
      </c>
      <c r="W9" s="85"/>
      <c r="X9" s="85"/>
      <c r="Y9" s="85"/>
      <c r="Z9" s="85"/>
      <c r="AA9" s="85"/>
      <c r="AB9" s="85"/>
      <c r="AC9" s="85"/>
      <c r="AE9" s="497" t="s">
        <v>17</v>
      </c>
      <c r="AF9" s="85" t="s">
        <v>268</v>
      </c>
      <c r="AG9" s="85"/>
      <c r="AH9" s="85"/>
      <c r="AI9" s="85"/>
      <c r="AJ9" s="85"/>
      <c r="AK9" s="85"/>
      <c r="AL9" s="85"/>
      <c r="AM9" s="85"/>
    </row>
    <row r="10" spans="1:42" ht="14.25" customHeight="1">
      <c r="A10" s="447" t="s">
        <v>18</v>
      </c>
      <c r="B10" s="448" t="s">
        <v>237</v>
      </c>
      <c r="C10" s="355" t="s">
        <v>236</v>
      </c>
      <c r="D10" s="85"/>
      <c r="E10" s="85"/>
      <c r="F10" s="85"/>
      <c r="G10" s="85"/>
      <c r="H10" s="85"/>
      <c r="I10" s="85"/>
      <c r="K10" s="447" t="s">
        <v>18</v>
      </c>
      <c r="L10" s="448" t="s">
        <v>237</v>
      </c>
      <c r="M10" s="355" t="s">
        <v>236</v>
      </c>
      <c r="U10" s="447" t="s">
        <v>18</v>
      </c>
      <c r="V10" s="448" t="s">
        <v>237</v>
      </c>
      <c r="W10" s="355" t="s">
        <v>236</v>
      </c>
      <c r="AE10" s="447" t="s">
        <v>18</v>
      </c>
      <c r="AF10" s="448" t="s">
        <v>237</v>
      </c>
      <c r="AG10" s="355" t="s">
        <v>236</v>
      </c>
    </row>
    <row r="12" spans="1:42" ht="14.25" customHeight="1">
      <c r="A12" s="85" t="s">
        <v>318</v>
      </c>
      <c r="B12" s="132">
        <f>Turbinas!B29</f>
        <v>1707</v>
      </c>
      <c r="C12" s="132" t="s">
        <v>367</v>
      </c>
      <c r="D12" s="85"/>
      <c r="E12" s="85"/>
      <c r="F12" s="85"/>
      <c r="G12" s="85"/>
      <c r="H12" s="85"/>
      <c r="I12" s="85"/>
      <c r="J12" s="85"/>
      <c r="K12" s="85" t="s">
        <v>318</v>
      </c>
      <c r="L12" s="132">
        <f>Turbinas!C29</f>
        <v>281873</v>
      </c>
      <c r="M12" s="132" t="s">
        <v>367</v>
      </c>
      <c r="N12" s="85"/>
      <c r="O12" s="85"/>
      <c r="P12" s="85"/>
      <c r="Q12" s="85"/>
      <c r="R12" s="85"/>
      <c r="S12" s="85"/>
      <c r="U12" s="85" t="s">
        <v>318</v>
      </c>
      <c r="V12" s="132">
        <f>Turbinas!D29</f>
        <v>705278</v>
      </c>
      <c r="W12" s="132" t="s">
        <v>367</v>
      </c>
      <c r="X12" s="85"/>
      <c r="Y12" s="85"/>
      <c r="Z12" s="85"/>
      <c r="AA12" s="85"/>
      <c r="AB12" s="85"/>
      <c r="AC12" s="85"/>
      <c r="AE12" s="85" t="s">
        <v>318</v>
      </c>
      <c r="AF12" s="132">
        <f>Turbinas!E29</f>
        <v>118998</v>
      </c>
      <c r="AG12" s="132" t="s">
        <v>367</v>
      </c>
      <c r="AH12" s="85"/>
      <c r="AI12" s="85"/>
      <c r="AJ12" s="85"/>
      <c r="AK12" s="85"/>
      <c r="AL12" s="85"/>
      <c r="AM12" s="85"/>
    </row>
    <row r="13" spans="1:42" ht="14.25" customHeight="1">
      <c r="A13" s="85" t="s">
        <v>84</v>
      </c>
      <c r="B13" s="132">
        <f>Turbinas!Y11</f>
        <v>0.01</v>
      </c>
      <c r="C13" s="107"/>
      <c r="D13" s="85"/>
      <c r="E13" s="85"/>
      <c r="F13" s="85"/>
      <c r="G13" s="85"/>
      <c r="H13" s="85"/>
      <c r="I13" s="85"/>
      <c r="J13" s="85"/>
      <c r="K13" s="85" t="s">
        <v>84</v>
      </c>
      <c r="L13" s="132">
        <f>Turbinas!Z11</f>
        <v>0.01</v>
      </c>
      <c r="M13" s="107"/>
      <c r="N13" s="85"/>
      <c r="O13" s="85"/>
      <c r="P13" s="85"/>
      <c r="Q13" s="85"/>
      <c r="R13" s="85"/>
      <c r="S13" s="85"/>
      <c r="U13" s="85" t="s">
        <v>84</v>
      </c>
      <c r="V13" s="132">
        <f>Turbinas!AA11</f>
        <v>0.01</v>
      </c>
      <c r="W13" s="107"/>
      <c r="X13" s="85"/>
      <c r="Y13" s="85"/>
      <c r="Z13" s="85"/>
      <c r="AA13" s="85"/>
      <c r="AB13" s="85"/>
      <c r="AC13" s="85"/>
      <c r="AE13" s="85" t="s">
        <v>84</v>
      </c>
      <c r="AF13" s="132">
        <f>Turbinas!AB11</f>
        <v>0.01</v>
      </c>
      <c r="AG13" s="107"/>
      <c r="AH13" s="85"/>
      <c r="AI13" s="85"/>
      <c r="AJ13" s="85"/>
      <c r="AK13" s="85"/>
      <c r="AL13" s="85"/>
      <c r="AM13" s="85"/>
      <c r="AO13">
        <f>(73.96+0.003*25+0.0006*298)*2.2046*0.138</f>
        <v>22.578420600240001</v>
      </c>
      <c r="AP13" t="s">
        <v>123</v>
      </c>
    </row>
    <row r="16" spans="1:42" ht="14.25" customHeight="1">
      <c r="A16" s="85" t="s">
        <v>85</v>
      </c>
      <c r="B16" s="85"/>
      <c r="C16" s="85"/>
      <c r="D16" s="85"/>
      <c r="E16" s="85"/>
      <c r="F16" s="85"/>
      <c r="G16" s="85"/>
      <c r="H16" s="85"/>
      <c r="I16" s="85"/>
      <c r="J16" s="85"/>
      <c r="K16" s="85" t="s">
        <v>85</v>
      </c>
      <c r="L16" s="85"/>
      <c r="M16" s="85"/>
      <c r="N16" s="85"/>
      <c r="O16" s="85"/>
      <c r="P16" s="85"/>
      <c r="Q16" s="85"/>
      <c r="R16" s="85"/>
      <c r="S16" s="85"/>
      <c r="U16" s="85" t="s">
        <v>85</v>
      </c>
      <c r="V16" s="85"/>
      <c r="W16" s="85"/>
      <c r="X16" s="85"/>
      <c r="Y16" s="85"/>
      <c r="Z16" s="85"/>
      <c r="AA16" s="85"/>
      <c r="AB16" s="85"/>
      <c r="AC16" s="85"/>
      <c r="AE16" s="85" t="s">
        <v>85</v>
      </c>
      <c r="AF16" s="85"/>
      <c r="AG16" s="85"/>
      <c r="AH16" s="85"/>
      <c r="AI16" s="85"/>
      <c r="AJ16" s="85"/>
      <c r="AK16" s="85"/>
      <c r="AL16" s="85"/>
      <c r="AM16" s="85"/>
    </row>
    <row r="18" spans="1:39" ht="14.25" customHeight="1">
      <c r="A18" s="108" t="s">
        <v>86</v>
      </c>
      <c r="B18" s="360">
        <v>1.2E-2</v>
      </c>
      <c r="C18" s="349" t="s">
        <v>87</v>
      </c>
      <c r="D18" s="361">
        <f>B12</f>
        <v>1707</v>
      </c>
      <c r="E18" s="349" t="s">
        <v>346</v>
      </c>
      <c r="F18" s="360">
        <v>0.13800000000000001</v>
      </c>
      <c r="G18" s="349" t="s">
        <v>89</v>
      </c>
      <c r="H18" s="360">
        <v>1</v>
      </c>
      <c r="I18" s="349" t="s">
        <v>90</v>
      </c>
      <c r="J18" s="118"/>
      <c r="K18" s="108" t="s">
        <v>86</v>
      </c>
      <c r="L18" s="360">
        <v>1.2E-2</v>
      </c>
      <c r="M18" s="349" t="s">
        <v>87</v>
      </c>
      <c r="N18" s="361">
        <f>L12</f>
        <v>281873</v>
      </c>
      <c r="O18" s="349" t="s">
        <v>346</v>
      </c>
      <c r="P18" s="360">
        <v>0.13800000000000001</v>
      </c>
      <c r="Q18" s="349" t="s">
        <v>89</v>
      </c>
      <c r="R18" s="360">
        <v>1</v>
      </c>
      <c r="S18" s="349" t="s">
        <v>90</v>
      </c>
      <c r="U18" s="108" t="s">
        <v>86</v>
      </c>
      <c r="V18" s="360">
        <v>1.2E-2</v>
      </c>
      <c r="W18" s="349" t="s">
        <v>87</v>
      </c>
      <c r="X18" s="361">
        <f>V12</f>
        <v>705278</v>
      </c>
      <c r="Y18" s="349" t="s">
        <v>346</v>
      </c>
      <c r="Z18" s="360">
        <v>0.13800000000000001</v>
      </c>
      <c r="AA18" s="349" t="s">
        <v>89</v>
      </c>
      <c r="AB18" s="360">
        <v>1</v>
      </c>
      <c r="AC18" s="349" t="s">
        <v>90</v>
      </c>
      <c r="AE18" s="108" t="s">
        <v>86</v>
      </c>
      <c r="AF18" s="360">
        <v>1.2E-2</v>
      </c>
      <c r="AG18" s="349" t="s">
        <v>87</v>
      </c>
      <c r="AH18" s="361">
        <f>AF12</f>
        <v>118998</v>
      </c>
      <c r="AI18" s="349" t="s">
        <v>346</v>
      </c>
      <c r="AJ18" s="360">
        <v>0.13800000000000001</v>
      </c>
      <c r="AK18" s="349" t="s">
        <v>89</v>
      </c>
      <c r="AL18" s="360">
        <v>1</v>
      </c>
      <c r="AM18" s="349" t="s">
        <v>90</v>
      </c>
    </row>
    <row r="19" spans="1:39" ht="14.25" customHeight="1">
      <c r="A19" s="85"/>
      <c r="B19" s="468"/>
      <c r="C19" s="364" t="s">
        <v>89</v>
      </c>
      <c r="D19" s="468"/>
      <c r="E19" s="364" t="s">
        <v>59</v>
      </c>
      <c r="F19" s="468"/>
      <c r="G19" s="364" t="s">
        <v>88</v>
      </c>
      <c r="H19" s="235">
        <v>2000</v>
      </c>
      <c r="I19" s="85" t="s">
        <v>87</v>
      </c>
      <c r="J19" s="118"/>
      <c r="K19" s="85"/>
      <c r="L19" s="468"/>
      <c r="M19" s="364" t="s">
        <v>89</v>
      </c>
      <c r="N19" s="468"/>
      <c r="O19" s="364" t="s">
        <v>59</v>
      </c>
      <c r="P19" s="468"/>
      <c r="Q19" s="364" t="s">
        <v>88</v>
      </c>
      <c r="R19" s="235">
        <v>2000</v>
      </c>
      <c r="S19" s="85" t="s">
        <v>87</v>
      </c>
      <c r="U19" s="85"/>
      <c r="V19" s="468"/>
      <c r="W19" s="364" t="s">
        <v>89</v>
      </c>
      <c r="X19" s="468"/>
      <c r="Y19" s="364" t="s">
        <v>59</v>
      </c>
      <c r="Z19" s="468"/>
      <c r="AA19" s="364" t="s">
        <v>88</v>
      </c>
      <c r="AB19" s="235">
        <v>2000</v>
      </c>
      <c r="AC19" s="85" t="s">
        <v>87</v>
      </c>
      <c r="AE19" s="85"/>
      <c r="AF19" s="468"/>
      <c r="AG19" s="364" t="s">
        <v>89</v>
      </c>
      <c r="AH19" s="468"/>
      <c r="AI19" s="364" t="s">
        <v>59</v>
      </c>
      <c r="AJ19" s="468"/>
      <c r="AK19" s="364" t="s">
        <v>88</v>
      </c>
      <c r="AL19" s="235">
        <v>2000</v>
      </c>
      <c r="AM19" s="85" t="s">
        <v>87</v>
      </c>
    </row>
    <row r="20" spans="1:39" ht="14.25" customHeight="1">
      <c r="A20" s="85"/>
      <c r="B20" s="85"/>
      <c r="C20" s="85"/>
      <c r="D20" s="85"/>
      <c r="E20" s="85"/>
      <c r="F20" s="85"/>
      <c r="G20" s="85"/>
      <c r="H20" s="85"/>
      <c r="I20" s="85"/>
      <c r="J20" s="118"/>
      <c r="K20" s="85"/>
      <c r="L20" s="85"/>
      <c r="M20" s="85"/>
      <c r="N20" s="85"/>
      <c r="O20" s="85"/>
      <c r="P20" s="85"/>
      <c r="Q20" s="85"/>
      <c r="R20" s="85"/>
      <c r="S20" s="85"/>
      <c r="U20" s="85"/>
      <c r="V20" s="85"/>
      <c r="W20" s="85"/>
      <c r="X20" s="85"/>
      <c r="Y20" s="85"/>
      <c r="Z20" s="85"/>
      <c r="AA20" s="85"/>
      <c r="AB20" s="85"/>
      <c r="AC20" s="85"/>
      <c r="AE20" s="85"/>
      <c r="AF20" s="85"/>
      <c r="AG20" s="85"/>
      <c r="AH20" s="85"/>
      <c r="AI20" s="85"/>
      <c r="AJ20" s="85"/>
      <c r="AK20" s="85"/>
      <c r="AL20" s="85"/>
      <c r="AM20" s="85"/>
    </row>
    <row r="21" spans="1:39" ht="14.25" customHeight="1">
      <c r="A21" s="108" t="s">
        <v>86</v>
      </c>
      <c r="B21" s="114">
        <f>(B18*D18*F18)/H19</f>
        <v>1.4133960000000004E-3</v>
      </c>
      <c r="C21" s="115" t="s">
        <v>90</v>
      </c>
      <c r="D21" s="85"/>
      <c r="E21" s="108" t="s">
        <v>86</v>
      </c>
      <c r="F21" s="369">
        <f>B21*2000/8760</f>
        <v>3.2269315068493158E-4</v>
      </c>
      <c r="G21" s="349" t="s">
        <v>87</v>
      </c>
      <c r="H21" s="85"/>
      <c r="I21" s="85"/>
      <c r="J21" s="118"/>
      <c r="K21" s="108" t="s">
        <v>86</v>
      </c>
      <c r="L21" s="114">
        <f>(L18*N18*P18)/R19</f>
        <v>0.23339084400000001</v>
      </c>
      <c r="M21" s="115" t="s">
        <v>90</v>
      </c>
      <c r="N21" s="85"/>
      <c r="O21" s="108" t="s">
        <v>86</v>
      </c>
      <c r="P21" s="369">
        <f>L21*2000/8760</f>
        <v>5.3285580821917811E-2</v>
      </c>
      <c r="Q21" s="349" t="s">
        <v>87</v>
      </c>
      <c r="R21" s="85"/>
      <c r="S21" s="85"/>
      <c r="U21" s="108" t="s">
        <v>86</v>
      </c>
      <c r="V21" s="114">
        <f>(V18*X18*Z18)/AB19</f>
        <v>0.583970184</v>
      </c>
      <c r="W21" s="115" t="s">
        <v>90</v>
      </c>
      <c r="X21" s="85"/>
      <c r="Y21" s="108" t="s">
        <v>86</v>
      </c>
      <c r="Z21" s="369">
        <f>V21*2000/8760</f>
        <v>0.13332652602739725</v>
      </c>
      <c r="AA21" s="349" t="s">
        <v>87</v>
      </c>
      <c r="AB21" s="85"/>
      <c r="AC21" s="85"/>
      <c r="AE21" s="108" t="s">
        <v>86</v>
      </c>
      <c r="AF21" s="114">
        <f>(AF18*AH18*AJ18)/AL19</f>
        <v>9.853034400000002E-2</v>
      </c>
      <c r="AG21" s="115" t="s">
        <v>90</v>
      </c>
      <c r="AH21" s="85"/>
      <c r="AI21" s="108" t="s">
        <v>86</v>
      </c>
      <c r="AJ21" s="369">
        <f>AF21*2000/8760</f>
        <v>2.2495512328767127E-2</v>
      </c>
      <c r="AK21" s="349" t="s">
        <v>87</v>
      </c>
      <c r="AL21" s="85"/>
      <c r="AM21" s="85"/>
    </row>
    <row r="22" spans="1:39" ht="14.25" customHeight="1">
      <c r="A22" s="85"/>
      <c r="B22" s="85"/>
      <c r="C22" s="118" t="s">
        <v>59</v>
      </c>
      <c r="D22" s="85"/>
      <c r="E22" s="85"/>
      <c r="F22" s="85"/>
      <c r="G22" s="85" t="s">
        <v>92</v>
      </c>
      <c r="H22" s="85"/>
      <c r="I22" s="85"/>
      <c r="J22" s="118"/>
      <c r="K22" s="85"/>
      <c r="L22" s="85"/>
      <c r="M22" s="118" t="s">
        <v>59</v>
      </c>
      <c r="N22" s="85"/>
      <c r="O22" s="85"/>
      <c r="P22" s="85"/>
      <c r="Q22" s="85" t="s">
        <v>92</v>
      </c>
      <c r="R22" s="85"/>
      <c r="S22" s="85"/>
      <c r="U22" s="85"/>
      <c r="V22" s="85"/>
      <c r="W22" s="118" t="s">
        <v>59</v>
      </c>
      <c r="X22" s="85"/>
      <c r="Y22" s="85"/>
      <c r="Z22" s="85"/>
      <c r="AA22" s="85" t="s">
        <v>92</v>
      </c>
      <c r="AB22" s="85"/>
      <c r="AC22" s="85"/>
      <c r="AE22" s="85"/>
      <c r="AF22" s="85"/>
      <c r="AG22" s="118" t="s">
        <v>59</v>
      </c>
      <c r="AH22" s="85"/>
      <c r="AI22" s="85"/>
      <c r="AJ22" s="85"/>
      <c r="AK22" s="85" t="s">
        <v>92</v>
      </c>
      <c r="AL22" s="85"/>
      <c r="AM22" s="85"/>
    </row>
    <row r="23" spans="1:39" ht="14.25" customHeight="1">
      <c r="A23" s="85"/>
      <c r="B23" s="85"/>
      <c r="C23" s="85"/>
      <c r="D23" s="85"/>
      <c r="E23" s="85"/>
      <c r="F23" s="85"/>
      <c r="G23" s="85"/>
      <c r="H23" s="85"/>
      <c r="I23" s="85"/>
      <c r="J23" s="118"/>
      <c r="K23" s="85"/>
      <c r="L23" s="85"/>
      <c r="M23" s="85"/>
      <c r="N23" s="85"/>
      <c r="O23" s="85"/>
      <c r="P23" s="85"/>
      <c r="Q23" s="85"/>
      <c r="R23" s="85"/>
      <c r="S23" s="85"/>
      <c r="U23" s="85"/>
      <c r="V23" s="85"/>
      <c r="W23" s="85"/>
      <c r="X23" s="85"/>
      <c r="Y23" s="85"/>
      <c r="Z23" s="85"/>
      <c r="AA23" s="85"/>
      <c r="AB23" s="85"/>
      <c r="AC23" s="85"/>
      <c r="AE23" s="85"/>
      <c r="AF23" s="85"/>
      <c r="AG23" s="85"/>
      <c r="AH23" s="85"/>
      <c r="AI23" s="85"/>
      <c r="AJ23" s="85"/>
      <c r="AK23" s="85"/>
      <c r="AL23" s="85"/>
      <c r="AM23" s="85"/>
    </row>
    <row r="24" spans="1:39" ht="14.25" customHeight="1">
      <c r="A24" s="85" t="s">
        <v>93</v>
      </c>
      <c r="B24" s="85"/>
      <c r="C24" s="85"/>
      <c r="D24" s="85"/>
      <c r="E24" s="85"/>
      <c r="F24" s="85"/>
      <c r="G24" s="85"/>
      <c r="H24" s="85"/>
      <c r="I24" s="85"/>
      <c r="J24" s="118"/>
      <c r="K24" s="85" t="s">
        <v>93</v>
      </c>
      <c r="L24" s="85"/>
      <c r="M24" s="85"/>
      <c r="N24" s="85"/>
      <c r="O24" s="85"/>
      <c r="P24" s="85"/>
      <c r="Q24" s="85"/>
      <c r="R24" s="85"/>
      <c r="S24" s="85"/>
      <c r="U24" s="85" t="s">
        <v>93</v>
      </c>
      <c r="V24" s="85"/>
      <c r="W24" s="85"/>
      <c r="X24" s="85"/>
      <c r="Y24" s="85"/>
      <c r="Z24" s="85"/>
      <c r="AA24" s="85"/>
      <c r="AB24" s="85"/>
      <c r="AC24" s="85"/>
      <c r="AE24" s="85" t="s">
        <v>93</v>
      </c>
      <c r="AF24" s="85"/>
      <c r="AG24" s="85"/>
      <c r="AH24" s="85"/>
      <c r="AI24" s="85"/>
      <c r="AJ24" s="85"/>
      <c r="AK24" s="85"/>
      <c r="AL24" s="85"/>
      <c r="AM24" s="85"/>
    </row>
    <row r="25" spans="1:39" ht="14.25" customHeight="1">
      <c r="A25" s="85"/>
      <c r="B25" s="85"/>
      <c r="C25" s="85"/>
      <c r="D25" s="85"/>
      <c r="E25" s="85"/>
      <c r="F25" s="85"/>
      <c r="G25" s="85"/>
      <c r="H25" s="85"/>
      <c r="I25" s="85"/>
      <c r="J25" s="118"/>
      <c r="K25" s="85"/>
      <c r="L25" s="85"/>
      <c r="M25" s="85"/>
      <c r="N25" s="85"/>
      <c r="O25" s="85"/>
      <c r="P25" s="85"/>
      <c r="Q25" s="85"/>
      <c r="R25" s="85"/>
      <c r="S25" s="85"/>
      <c r="U25" s="85"/>
      <c r="V25" s="85"/>
      <c r="W25" s="85"/>
      <c r="X25" s="85"/>
      <c r="Y25" s="85"/>
      <c r="Z25" s="85"/>
      <c r="AA25" s="85"/>
      <c r="AB25" s="85"/>
      <c r="AC25" s="85"/>
      <c r="AE25" s="85"/>
      <c r="AF25" s="85"/>
      <c r="AG25" s="85"/>
      <c r="AH25" s="85"/>
      <c r="AI25" s="85"/>
      <c r="AJ25" s="85"/>
      <c r="AK25" s="85"/>
      <c r="AL25" s="85"/>
      <c r="AM25" s="85"/>
    </row>
    <row r="26" spans="1:39" ht="14.25" customHeight="1">
      <c r="A26" s="108" t="s">
        <v>86</v>
      </c>
      <c r="B26" s="368">
        <f>1.01*B13</f>
        <v>1.01E-2</v>
      </c>
      <c r="C26" s="349" t="s">
        <v>87</v>
      </c>
      <c r="D26" s="361">
        <f>B12</f>
        <v>1707</v>
      </c>
      <c r="E26" s="349" t="s">
        <v>346</v>
      </c>
      <c r="F26" s="360">
        <v>0.13800000000000001</v>
      </c>
      <c r="G26" s="349" t="s">
        <v>89</v>
      </c>
      <c r="H26" s="360">
        <v>1</v>
      </c>
      <c r="I26" s="349" t="s">
        <v>90</v>
      </c>
      <c r="J26" s="118"/>
      <c r="K26" s="108" t="s">
        <v>86</v>
      </c>
      <c r="L26" s="368">
        <f>1.01*L13</f>
        <v>1.01E-2</v>
      </c>
      <c r="M26" s="349" t="s">
        <v>87</v>
      </c>
      <c r="N26" s="361">
        <f>L12</f>
        <v>281873</v>
      </c>
      <c r="O26" s="349" t="s">
        <v>346</v>
      </c>
      <c r="P26" s="360">
        <v>0.13800000000000001</v>
      </c>
      <c r="Q26" s="349" t="s">
        <v>89</v>
      </c>
      <c r="R26" s="360">
        <v>1</v>
      </c>
      <c r="S26" s="349" t="s">
        <v>90</v>
      </c>
      <c r="U26" s="108" t="s">
        <v>86</v>
      </c>
      <c r="V26" s="368">
        <f>1.01*V13</f>
        <v>1.01E-2</v>
      </c>
      <c r="W26" s="349" t="s">
        <v>87</v>
      </c>
      <c r="X26" s="361">
        <f>V12</f>
        <v>705278</v>
      </c>
      <c r="Y26" s="349" t="s">
        <v>346</v>
      </c>
      <c r="Z26" s="360">
        <v>0.13800000000000001</v>
      </c>
      <c r="AA26" s="349" t="s">
        <v>89</v>
      </c>
      <c r="AB26" s="360">
        <v>1</v>
      </c>
      <c r="AC26" s="349" t="s">
        <v>90</v>
      </c>
      <c r="AE26" s="108" t="s">
        <v>86</v>
      </c>
      <c r="AF26" s="368">
        <f>1.01*AF13</f>
        <v>1.01E-2</v>
      </c>
      <c r="AG26" s="349" t="s">
        <v>87</v>
      </c>
      <c r="AH26" s="361">
        <f>AF12</f>
        <v>118998</v>
      </c>
      <c r="AI26" s="349" t="s">
        <v>346</v>
      </c>
      <c r="AJ26" s="360">
        <v>0.13800000000000001</v>
      </c>
      <c r="AK26" s="349" t="s">
        <v>89</v>
      </c>
      <c r="AL26" s="360">
        <v>1</v>
      </c>
      <c r="AM26" s="349" t="s">
        <v>90</v>
      </c>
    </row>
    <row r="27" spans="1:39" ht="14.25" customHeight="1">
      <c r="A27" s="85"/>
      <c r="B27" s="468"/>
      <c r="C27" s="364" t="s">
        <v>89</v>
      </c>
      <c r="D27" s="468"/>
      <c r="E27" s="364" t="s">
        <v>59</v>
      </c>
      <c r="F27" s="468"/>
      <c r="G27" s="364" t="s">
        <v>88</v>
      </c>
      <c r="H27" s="235">
        <v>2000</v>
      </c>
      <c r="I27" s="85" t="s">
        <v>87</v>
      </c>
      <c r="J27" s="118"/>
      <c r="K27" s="85"/>
      <c r="L27" s="468"/>
      <c r="M27" s="364" t="s">
        <v>89</v>
      </c>
      <c r="N27" s="468"/>
      <c r="O27" s="364" t="s">
        <v>59</v>
      </c>
      <c r="P27" s="468"/>
      <c r="Q27" s="364" t="s">
        <v>88</v>
      </c>
      <c r="R27" s="235">
        <v>2000</v>
      </c>
      <c r="S27" s="85" t="s">
        <v>87</v>
      </c>
      <c r="U27" s="85"/>
      <c r="V27" s="468"/>
      <c r="W27" s="364" t="s">
        <v>89</v>
      </c>
      <c r="X27" s="468"/>
      <c r="Y27" s="364" t="s">
        <v>59</v>
      </c>
      <c r="Z27" s="468"/>
      <c r="AA27" s="364" t="s">
        <v>88</v>
      </c>
      <c r="AB27" s="235">
        <v>2000</v>
      </c>
      <c r="AC27" s="85" t="s">
        <v>87</v>
      </c>
      <c r="AE27" s="85"/>
      <c r="AF27" s="468"/>
      <c r="AG27" s="364" t="s">
        <v>89</v>
      </c>
      <c r="AH27" s="468"/>
      <c r="AI27" s="364" t="s">
        <v>59</v>
      </c>
      <c r="AJ27" s="468"/>
      <c r="AK27" s="364" t="s">
        <v>88</v>
      </c>
      <c r="AL27" s="235">
        <v>2000</v>
      </c>
      <c r="AM27" s="85" t="s">
        <v>87</v>
      </c>
    </row>
    <row r="28" spans="1:39" ht="14.25" customHeight="1">
      <c r="A28" s="85"/>
      <c r="B28" s="85"/>
      <c r="C28" s="85"/>
      <c r="D28" s="85"/>
      <c r="E28" s="85"/>
      <c r="F28" s="85"/>
      <c r="G28" s="85"/>
      <c r="H28" s="85"/>
      <c r="I28" s="85"/>
      <c r="J28" s="118"/>
      <c r="K28" s="85"/>
      <c r="L28" s="85"/>
      <c r="M28" s="85"/>
      <c r="N28" s="85"/>
      <c r="O28" s="85"/>
      <c r="P28" s="85"/>
      <c r="Q28" s="85"/>
      <c r="R28" s="85"/>
      <c r="S28" s="85"/>
      <c r="U28" s="85"/>
      <c r="V28" s="85"/>
      <c r="W28" s="85"/>
      <c r="X28" s="85"/>
      <c r="Y28" s="85"/>
      <c r="Z28" s="85"/>
      <c r="AA28" s="85"/>
      <c r="AB28" s="85"/>
      <c r="AC28" s="85"/>
      <c r="AE28" s="85"/>
      <c r="AF28" s="85"/>
      <c r="AG28" s="85"/>
      <c r="AH28" s="85"/>
      <c r="AI28" s="85"/>
      <c r="AJ28" s="85"/>
      <c r="AK28" s="85"/>
      <c r="AL28" s="85"/>
      <c r="AM28" s="85"/>
    </row>
    <row r="29" spans="1:39" ht="14.25" customHeight="1">
      <c r="A29" s="108" t="s">
        <v>86</v>
      </c>
      <c r="B29" s="114">
        <f>(B26*D26*F26)/H27</f>
        <v>1.1896083000000001E-3</v>
      </c>
      <c r="C29" s="115" t="s">
        <v>90</v>
      </c>
      <c r="D29" s="85"/>
      <c r="E29" s="108" t="s">
        <v>86</v>
      </c>
      <c r="F29" s="369">
        <f>B29*2000/8760</f>
        <v>2.716000684931507E-4</v>
      </c>
      <c r="G29" s="349" t="s">
        <v>87</v>
      </c>
      <c r="H29" s="85"/>
      <c r="I29" s="85"/>
      <c r="J29" s="118"/>
      <c r="K29" s="108" t="s">
        <v>86</v>
      </c>
      <c r="L29" s="114">
        <f>(L26*N26*P26)/R27</f>
        <v>0.19643729370000002</v>
      </c>
      <c r="M29" s="115" t="s">
        <v>90</v>
      </c>
      <c r="N29" s="85"/>
      <c r="O29" s="108" t="s">
        <v>86</v>
      </c>
      <c r="P29" s="369">
        <f>L29*2000/8760</f>
        <v>4.4848697191780827E-2</v>
      </c>
      <c r="Q29" s="349" t="s">
        <v>87</v>
      </c>
      <c r="R29" s="85"/>
      <c r="S29" s="85"/>
      <c r="U29" s="108" t="s">
        <v>86</v>
      </c>
      <c r="V29" s="114">
        <f>(V26*X26*Z26)/AB27</f>
        <v>0.4915082382</v>
      </c>
      <c r="W29" s="115" t="s">
        <v>90</v>
      </c>
      <c r="X29" s="85"/>
      <c r="Y29" s="108" t="s">
        <v>86</v>
      </c>
      <c r="Z29" s="369">
        <f>V29*2000/8760</f>
        <v>0.11221649273972603</v>
      </c>
      <c r="AA29" s="349" t="s">
        <v>87</v>
      </c>
      <c r="AB29" s="85"/>
      <c r="AC29" s="85"/>
      <c r="AE29" s="108" t="s">
        <v>86</v>
      </c>
      <c r="AF29" s="114">
        <f>(AF26*AH26*AJ26)/AL27</f>
        <v>8.2929706199999995E-2</v>
      </c>
      <c r="AG29" s="115" t="s">
        <v>90</v>
      </c>
      <c r="AH29" s="85"/>
      <c r="AI29" s="108" t="s">
        <v>86</v>
      </c>
      <c r="AJ29" s="369">
        <f>AF29*2000/8760</f>
        <v>1.8933722876712328E-2</v>
      </c>
      <c r="AK29" s="349" t="s">
        <v>87</v>
      </c>
      <c r="AL29" s="85"/>
      <c r="AM29" s="85"/>
    </row>
    <row r="30" spans="1:39" ht="14.25" customHeight="1">
      <c r="A30" s="85"/>
      <c r="B30" s="85"/>
      <c r="C30" s="118" t="s">
        <v>59</v>
      </c>
      <c r="D30" s="85"/>
      <c r="E30" s="85"/>
      <c r="F30" s="85"/>
      <c r="G30" s="85" t="s">
        <v>92</v>
      </c>
      <c r="H30" s="85"/>
      <c r="I30" s="85"/>
      <c r="J30" s="118"/>
      <c r="K30" s="85"/>
      <c r="L30" s="85"/>
      <c r="M30" s="118" t="s">
        <v>59</v>
      </c>
      <c r="N30" s="85"/>
      <c r="O30" s="85"/>
      <c r="P30" s="85"/>
      <c r="Q30" s="85" t="s">
        <v>92</v>
      </c>
      <c r="R30" s="85"/>
      <c r="S30" s="85"/>
      <c r="U30" s="85"/>
      <c r="V30" s="85"/>
      <c r="W30" s="118" t="s">
        <v>59</v>
      </c>
      <c r="X30" s="85"/>
      <c r="Y30" s="85"/>
      <c r="Z30" s="85"/>
      <c r="AA30" s="85" t="s">
        <v>92</v>
      </c>
      <c r="AB30" s="85"/>
      <c r="AC30" s="85"/>
      <c r="AE30" s="85"/>
      <c r="AF30" s="85"/>
      <c r="AG30" s="118" t="s">
        <v>59</v>
      </c>
      <c r="AH30" s="85"/>
      <c r="AI30" s="85"/>
      <c r="AJ30" s="85"/>
      <c r="AK30" s="85" t="s">
        <v>92</v>
      </c>
      <c r="AL30" s="85"/>
      <c r="AM30" s="85"/>
    </row>
    <row r="31" spans="1:39" ht="14.25" customHeight="1">
      <c r="A31" s="85"/>
      <c r="B31" s="85"/>
      <c r="C31" s="85"/>
      <c r="D31" s="85"/>
      <c r="E31" s="85"/>
      <c r="F31" s="85"/>
      <c r="G31" s="85"/>
      <c r="H31" s="85"/>
      <c r="I31" s="85"/>
      <c r="J31" s="118"/>
      <c r="K31" s="85"/>
      <c r="L31" s="85"/>
      <c r="M31" s="85"/>
      <c r="N31" s="85"/>
      <c r="O31" s="85"/>
      <c r="P31" s="85"/>
      <c r="Q31" s="85"/>
      <c r="R31" s="85"/>
      <c r="S31" s="85"/>
      <c r="U31" s="85"/>
      <c r="V31" s="85"/>
      <c r="W31" s="85"/>
      <c r="X31" s="85"/>
      <c r="Y31" s="85"/>
      <c r="Z31" s="85"/>
      <c r="AA31" s="85"/>
      <c r="AB31" s="85"/>
      <c r="AC31" s="85"/>
      <c r="AE31" s="85"/>
      <c r="AF31" s="85"/>
      <c r="AG31" s="85"/>
      <c r="AH31" s="85"/>
      <c r="AI31" s="85"/>
      <c r="AJ31" s="85"/>
      <c r="AK31" s="85"/>
      <c r="AL31" s="85"/>
      <c r="AM31" s="85"/>
    </row>
    <row r="32" spans="1:39" ht="14.25" customHeight="1">
      <c r="A32" s="85" t="s">
        <v>94</v>
      </c>
      <c r="B32" s="85"/>
      <c r="C32" s="85"/>
      <c r="D32" s="85"/>
      <c r="E32" s="85"/>
      <c r="F32" s="85"/>
      <c r="G32" s="85"/>
      <c r="H32" s="85"/>
      <c r="I32" s="85"/>
      <c r="J32" s="118"/>
      <c r="K32" s="85" t="s">
        <v>94</v>
      </c>
      <c r="L32" s="85"/>
      <c r="M32" s="85"/>
      <c r="N32" s="85"/>
      <c r="O32" s="85"/>
      <c r="P32" s="85"/>
      <c r="Q32" s="85"/>
      <c r="R32" s="85"/>
      <c r="S32" s="85"/>
      <c r="U32" s="85" t="s">
        <v>94</v>
      </c>
      <c r="V32" s="85"/>
      <c r="W32" s="85"/>
      <c r="X32" s="85"/>
      <c r="Y32" s="85"/>
      <c r="Z32" s="85"/>
      <c r="AA32" s="85"/>
      <c r="AB32" s="85"/>
      <c r="AC32" s="85"/>
      <c r="AE32" s="85" t="s">
        <v>94</v>
      </c>
      <c r="AF32" s="85"/>
      <c r="AG32" s="85"/>
      <c r="AH32" s="85"/>
      <c r="AI32" s="85"/>
      <c r="AJ32" s="85"/>
      <c r="AK32" s="85"/>
      <c r="AL32" s="85"/>
      <c r="AM32" s="85"/>
    </row>
    <row r="33" spans="1:39" ht="14.25" customHeight="1">
      <c r="A33" s="85"/>
      <c r="B33" s="85"/>
      <c r="C33" s="85"/>
      <c r="D33" s="85"/>
      <c r="E33" s="85"/>
      <c r="F33" s="85"/>
      <c r="G33" s="85"/>
      <c r="H33" s="85"/>
      <c r="I33" s="85"/>
      <c r="J33" s="118"/>
      <c r="K33" s="85"/>
      <c r="L33" s="85"/>
      <c r="M33" s="85"/>
      <c r="N33" s="85"/>
      <c r="O33" s="85"/>
      <c r="P33" s="85"/>
      <c r="Q33" s="85"/>
      <c r="R33" s="85"/>
      <c r="S33" s="85"/>
      <c r="U33" s="85"/>
      <c r="V33" s="85"/>
      <c r="W33" s="85"/>
      <c r="X33" s="85"/>
      <c r="Y33" s="85"/>
      <c r="Z33" s="85"/>
      <c r="AA33" s="85"/>
      <c r="AB33" s="85"/>
      <c r="AC33" s="85"/>
      <c r="AE33" s="85"/>
      <c r="AF33" s="85"/>
      <c r="AG33" s="85"/>
      <c r="AH33" s="85"/>
      <c r="AI33" s="85"/>
      <c r="AJ33" s="85"/>
      <c r="AK33" s="85"/>
      <c r="AL33" s="85"/>
      <c r="AM33" s="85"/>
    </row>
    <row r="34" spans="1:39" ht="14.25" customHeight="1">
      <c r="A34" s="108" t="s">
        <v>86</v>
      </c>
      <c r="B34" s="496">
        <f>74*20.9/5.9*9190*0.0000001194</f>
        <v>0.28763771654237286</v>
      </c>
      <c r="C34" s="349" t="s">
        <v>87</v>
      </c>
      <c r="D34" s="361">
        <f>B12</f>
        <v>1707</v>
      </c>
      <c r="E34" s="349" t="s">
        <v>346</v>
      </c>
      <c r="F34" s="360">
        <v>0.13800000000000001</v>
      </c>
      <c r="G34" s="349" t="s">
        <v>89</v>
      </c>
      <c r="H34" s="360">
        <v>1</v>
      </c>
      <c r="I34" s="349" t="s">
        <v>90</v>
      </c>
      <c r="J34" s="118"/>
      <c r="K34" s="108" t="s">
        <v>86</v>
      </c>
      <c r="L34" s="496">
        <f>74*20.9/5.9*9190*0.0000001194</f>
        <v>0.28763771654237286</v>
      </c>
      <c r="M34" s="349" t="s">
        <v>87</v>
      </c>
      <c r="N34" s="361">
        <f>L12</f>
        <v>281873</v>
      </c>
      <c r="O34" s="349" t="s">
        <v>346</v>
      </c>
      <c r="P34" s="360">
        <v>0.13800000000000001</v>
      </c>
      <c r="Q34" s="349" t="s">
        <v>89</v>
      </c>
      <c r="R34" s="360">
        <v>1</v>
      </c>
      <c r="S34" s="349" t="s">
        <v>90</v>
      </c>
      <c r="U34" s="108" t="s">
        <v>86</v>
      </c>
      <c r="V34" s="496">
        <f>74*20.9/5.9*9190*0.0000001194</f>
        <v>0.28763771654237286</v>
      </c>
      <c r="W34" s="349" t="s">
        <v>87</v>
      </c>
      <c r="X34" s="361">
        <f>V12</f>
        <v>705278</v>
      </c>
      <c r="Y34" s="349" t="s">
        <v>346</v>
      </c>
      <c r="Z34" s="360">
        <v>0.13800000000000001</v>
      </c>
      <c r="AA34" s="349" t="s">
        <v>89</v>
      </c>
      <c r="AB34" s="360">
        <v>1</v>
      </c>
      <c r="AC34" s="349" t="s">
        <v>90</v>
      </c>
      <c r="AE34" s="108" t="s">
        <v>86</v>
      </c>
      <c r="AF34" s="496">
        <f>74*20.9/5.9*9190*0.0000001194</f>
        <v>0.28763771654237286</v>
      </c>
      <c r="AG34" s="349" t="s">
        <v>87</v>
      </c>
      <c r="AH34" s="361">
        <f>AF12</f>
        <v>118998</v>
      </c>
      <c r="AI34" s="349" t="s">
        <v>346</v>
      </c>
      <c r="AJ34" s="360">
        <v>0.13800000000000001</v>
      </c>
      <c r="AK34" s="349" t="s">
        <v>89</v>
      </c>
      <c r="AL34" s="360">
        <v>1</v>
      </c>
      <c r="AM34" s="349" t="s">
        <v>90</v>
      </c>
    </row>
    <row r="35" spans="1:39" ht="14.25" customHeight="1">
      <c r="A35" s="85"/>
      <c r="B35" s="468"/>
      <c r="C35" s="364" t="s">
        <v>89</v>
      </c>
      <c r="D35" s="468"/>
      <c r="E35" s="364" t="s">
        <v>59</v>
      </c>
      <c r="F35" s="468"/>
      <c r="G35" s="364" t="s">
        <v>88</v>
      </c>
      <c r="H35" s="235">
        <v>2000</v>
      </c>
      <c r="I35" s="85" t="s">
        <v>87</v>
      </c>
      <c r="J35" s="118"/>
      <c r="K35" s="85"/>
      <c r="L35" s="468"/>
      <c r="M35" s="364" t="s">
        <v>89</v>
      </c>
      <c r="N35" s="468"/>
      <c r="O35" s="364" t="s">
        <v>59</v>
      </c>
      <c r="P35" s="468"/>
      <c r="Q35" s="364" t="s">
        <v>88</v>
      </c>
      <c r="R35" s="235">
        <v>2000</v>
      </c>
      <c r="S35" s="85" t="s">
        <v>87</v>
      </c>
      <c r="U35" s="85"/>
      <c r="V35" s="468"/>
      <c r="W35" s="364" t="s">
        <v>89</v>
      </c>
      <c r="X35" s="468"/>
      <c r="Y35" s="364" t="s">
        <v>59</v>
      </c>
      <c r="Z35" s="468"/>
      <c r="AA35" s="364" t="s">
        <v>88</v>
      </c>
      <c r="AB35" s="235">
        <v>2000</v>
      </c>
      <c r="AC35" s="85" t="s">
        <v>87</v>
      </c>
      <c r="AE35" s="85"/>
      <c r="AF35" s="468"/>
      <c r="AG35" s="364" t="s">
        <v>89</v>
      </c>
      <c r="AH35" s="468"/>
      <c r="AI35" s="364" t="s">
        <v>59</v>
      </c>
      <c r="AJ35" s="468"/>
      <c r="AK35" s="364" t="s">
        <v>88</v>
      </c>
      <c r="AL35" s="235">
        <v>2000</v>
      </c>
      <c r="AM35" s="85" t="s">
        <v>87</v>
      </c>
    </row>
    <row r="36" spans="1:39" ht="14.25" customHeight="1">
      <c r="A36" s="85"/>
      <c r="B36" s="85"/>
      <c r="C36" s="85"/>
      <c r="D36" s="85"/>
      <c r="E36" s="85"/>
      <c r="F36" s="85"/>
      <c r="G36" s="85"/>
      <c r="H36" s="85"/>
      <c r="I36" s="85"/>
      <c r="J36" s="118"/>
      <c r="K36" s="85"/>
      <c r="L36" s="85"/>
      <c r="M36" s="85"/>
      <c r="N36" s="85"/>
      <c r="O36" s="85"/>
      <c r="P36" s="85"/>
      <c r="Q36" s="85"/>
      <c r="R36" s="85"/>
      <c r="S36" s="85"/>
      <c r="U36" s="85"/>
      <c r="V36" s="85"/>
      <c r="W36" s="85"/>
      <c r="X36" s="85"/>
      <c r="Y36" s="85"/>
      <c r="Z36" s="85"/>
      <c r="AA36" s="85"/>
      <c r="AB36" s="85"/>
      <c r="AC36" s="85"/>
      <c r="AE36" s="85"/>
      <c r="AF36" s="85"/>
      <c r="AG36" s="85"/>
      <c r="AH36" s="85"/>
      <c r="AI36" s="85"/>
      <c r="AJ36" s="85"/>
      <c r="AK36" s="85"/>
      <c r="AL36" s="85"/>
      <c r="AM36" s="85"/>
    </row>
    <row r="37" spans="1:39" ht="14.25" customHeight="1">
      <c r="A37" s="108" t="s">
        <v>86</v>
      </c>
      <c r="B37" s="114">
        <f>(B34*D34*F34)/H35</f>
        <v>3.3878833167510308E-2</v>
      </c>
      <c r="C37" s="115" t="s">
        <v>90</v>
      </c>
      <c r="D37" s="85"/>
      <c r="E37" s="108" t="s">
        <v>86</v>
      </c>
      <c r="F37" s="114">
        <f>B37*2000/8760</f>
        <v>7.7348934172397962E-3</v>
      </c>
      <c r="G37" s="349" t="s">
        <v>87</v>
      </c>
      <c r="H37" s="85"/>
      <c r="I37" s="85"/>
      <c r="J37" s="118"/>
      <c r="K37" s="108" t="s">
        <v>86</v>
      </c>
      <c r="L37" s="114">
        <f>(L34*N34*P34)/R35</f>
        <v>5.5943341191714309</v>
      </c>
      <c r="M37" s="115" t="s">
        <v>90</v>
      </c>
      <c r="N37" s="85"/>
      <c r="O37" s="108" t="s">
        <v>86</v>
      </c>
      <c r="P37" s="114">
        <f>L37*2000/8760</f>
        <v>1.2772452326875412</v>
      </c>
      <c r="Q37" s="349" t="s">
        <v>87</v>
      </c>
      <c r="R37" s="85"/>
      <c r="S37" s="85"/>
      <c r="U37" s="108" t="s">
        <v>86</v>
      </c>
      <c r="V37" s="114">
        <f>(V34*X34*Z34)/AB35</f>
        <v>13.997654187882445</v>
      </c>
      <c r="W37" s="115" t="s">
        <v>90</v>
      </c>
      <c r="X37" s="85"/>
      <c r="Y37" s="108" t="s">
        <v>86</v>
      </c>
      <c r="Z37" s="114">
        <f>V37*2000/8760</f>
        <v>3.1958114584206494</v>
      </c>
      <c r="AA37" s="349" t="s">
        <v>87</v>
      </c>
      <c r="AB37" s="85"/>
      <c r="AC37" s="85"/>
      <c r="AE37" s="108" t="s">
        <v>86</v>
      </c>
      <c r="AF37" s="114">
        <f>(AF34*AH34*AJ34)/AL35</f>
        <v>2.3617535965245406</v>
      </c>
      <c r="AG37" s="115" t="s">
        <v>90</v>
      </c>
      <c r="AH37" s="85"/>
      <c r="AI37" s="108" t="s">
        <v>86</v>
      </c>
      <c r="AJ37" s="114">
        <f>AF37*2000/8760</f>
        <v>0.53921314989144764</v>
      </c>
      <c r="AK37" s="349" t="s">
        <v>87</v>
      </c>
      <c r="AL37" s="85"/>
      <c r="AM37" s="85"/>
    </row>
    <row r="38" spans="1:39" ht="14.25" customHeight="1">
      <c r="A38" s="85"/>
      <c r="B38" s="85"/>
      <c r="C38" s="118" t="s">
        <v>59</v>
      </c>
      <c r="D38" s="85"/>
      <c r="E38" s="85"/>
      <c r="F38" s="85"/>
      <c r="G38" s="85" t="s">
        <v>92</v>
      </c>
      <c r="H38" s="85"/>
      <c r="I38" s="85"/>
      <c r="J38" s="118"/>
      <c r="K38" s="85"/>
      <c r="L38" s="85"/>
      <c r="M38" s="118" t="s">
        <v>59</v>
      </c>
      <c r="N38" s="85"/>
      <c r="O38" s="85"/>
      <c r="P38" s="85"/>
      <c r="Q38" s="85" t="s">
        <v>92</v>
      </c>
      <c r="R38" s="85"/>
      <c r="S38" s="85"/>
      <c r="U38" s="85"/>
      <c r="V38" s="85"/>
      <c r="W38" s="118" t="s">
        <v>59</v>
      </c>
      <c r="X38" s="85"/>
      <c r="Y38" s="85"/>
      <c r="Z38" s="85"/>
      <c r="AA38" s="85" t="s">
        <v>92</v>
      </c>
      <c r="AB38" s="85"/>
      <c r="AC38" s="85"/>
      <c r="AE38" s="85"/>
      <c r="AF38" s="85"/>
      <c r="AG38" s="118" t="s">
        <v>59</v>
      </c>
      <c r="AH38" s="85"/>
      <c r="AI38" s="85"/>
      <c r="AJ38" s="85"/>
      <c r="AK38" s="85" t="s">
        <v>92</v>
      </c>
      <c r="AL38" s="85"/>
      <c r="AM38" s="85"/>
    </row>
    <row r="39" spans="1:39" ht="14.25" customHeight="1">
      <c r="A39" s="85"/>
      <c r="B39" s="85"/>
      <c r="C39" s="85"/>
      <c r="D39" s="85"/>
      <c r="E39" s="85"/>
      <c r="F39" s="85"/>
      <c r="G39" s="85"/>
      <c r="H39" s="85"/>
      <c r="I39" s="85"/>
      <c r="J39" s="118"/>
      <c r="K39" s="85"/>
      <c r="L39" s="85"/>
      <c r="M39" s="85"/>
      <c r="N39" s="85"/>
      <c r="O39" s="85"/>
      <c r="P39" s="85"/>
      <c r="Q39" s="85"/>
      <c r="R39" s="85"/>
      <c r="S39" s="85"/>
      <c r="U39" s="85"/>
      <c r="V39" s="85"/>
      <c r="W39" s="85"/>
      <c r="X39" s="85"/>
      <c r="Y39" s="85"/>
      <c r="Z39" s="85"/>
      <c r="AA39" s="85"/>
      <c r="AB39" s="85"/>
      <c r="AC39" s="85"/>
      <c r="AE39" s="85"/>
      <c r="AF39" s="85"/>
      <c r="AG39" s="85"/>
      <c r="AH39" s="85"/>
      <c r="AI39" s="85"/>
      <c r="AJ39" s="85"/>
      <c r="AK39" s="85"/>
      <c r="AL39" s="85"/>
      <c r="AM39" s="85"/>
    </row>
    <row r="40" spans="1:39" ht="14.25" customHeight="1">
      <c r="A40" s="85" t="s">
        <v>95</v>
      </c>
      <c r="B40" s="85"/>
      <c r="C40" s="85"/>
      <c r="D40" s="85"/>
      <c r="E40" s="85"/>
      <c r="F40" s="85"/>
      <c r="G40" s="85"/>
      <c r="H40" s="85"/>
      <c r="I40" s="85"/>
      <c r="J40" s="118"/>
      <c r="K40" s="85" t="s">
        <v>95</v>
      </c>
      <c r="L40" s="85"/>
      <c r="M40" s="85"/>
      <c r="N40" s="85"/>
      <c r="O40" s="85"/>
      <c r="P40" s="85"/>
      <c r="Q40" s="85"/>
      <c r="R40" s="85"/>
      <c r="S40" s="85"/>
      <c r="U40" s="85" t="s">
        <v>95</v>
      </c>
      <c r="V40" s="85"/>
      <c r="W40" s="85"/>
      <c r="X40" s="85"/>
      <c r="Y40" s="85"/>
      <c r="Z40" s="85"/>
      <c r="AA40" s="85"/>
      <c r="AB40" s="85"/>
      <c r="AC40" s="85"/>
      <c r="AE40" s="85" t="s">
        <v>95</v>
      </c>
      <c r="AF40" s="85"/>
      <c r="AG40" s="85"/>
      <c r="AH40" s="85"/>
      <c r="AI40" s="85"/>
      <c r="AJ40" s="85"/>
      <c r="AK40" s="85"/>
      <c r="AL40" s="85"/>
      <c r="AM40" s="85"/>
    </row>
    <row r="41" spans="1:39" ht="14.25" customHeight="1">
      <c r="A41" s="85"/>
      <c r="B41" s="85"/>
      <c r="C41" s="85"/>
      <c r="D41" s="85"/>
      <c r="E41" s="85"/>
      <c r="F41" s="85"/>
      <c r="G41" s="85"/>
      <c r="H41" s="85"/>
      <c r="I41" s="85"/>
      <c r="J41" s="118"/>
      <c r="K41" s="85"/>
      <c r="L41" s="85"/>
      <c r="M41" s="85"/>
      <c r="N41" s="85"/>
      <c r="O41" s="85"/>
      <c r="P41" s="85"/>
      <c r="Q41" s="85"/>
      <c r="R41" s="85"/>
      <c r="S41" s="85"/>
      <c r="U41" s="85"/>
      <c r="V41" s="85"/>
      <c r="W41" s="85"/>
      <c r="X41" s="85"/>
      <c r="Y41" s="85"/>
      <c r="Z41" s="85"/>
      <c r="AA41" s="85"/>
      <c r="AB41" s="85"/>
      <c r="AC41" s="85"/>
      <c r="AE41" s="85"/>
      <c r="AF41" s="85"/>
      <c r="AG41" s="85"/>
      <c r="AH41" s="85"/>
      <c r="AI41" s="85"/>
      <c r="AJ41" s="85"/>
      <c r="AK41" s="85"/>
      <c r="AL41" s="85"/>
      <c r="AM41" s="85"/>
    </row>
    <row r="42" spans="1:39" ht="14.25" customHeight="1">
      <c r="A42" s="108" t="s">
        <v>86</v>
      </c>
      <c r="B42" s="360">
        <v>4.0999999999999999E-4</v>
      </c>
      <c r="C42" s="349" t="s">
        <v>87</v>
      </c>
      <c r="D42" s="361">
        <f>B12</f>
        <v>1707</v>
      </c>
      <c r="E42" s="349" t="s">
        <v>346</v>
      </c>
      <c r="F42" s="360">
        <v>0.13800000000000001</v>
      </c>
      <c r="G42" s="349" t="s">
        <v>89</v>
      </c>
      <c r="H42" s="360">
        <v>1</v>
      </c>
      <c r="I42" s="349" t="s">
        <v>90</v>
      </c>
      <c r="J42" s="118"/>
      <c r="K42" s="108" t="s">
        <v>86</v>
      </c>
      <c r="L42" s="360">
        <v>4.0999999999999999E-4</v>
      </c>
      <c r="M42" s="349" t="s">
        <v>87</v>
      </c>
      <c r="N42" s="361">
        <f>L12</f>
        <v>281873</v>
      </c>
      <c r="O42" s="349" t="s">
        <v>346</v>
      </c>
      <c r="P42" s="360">
        <v>0.13800000000000001</v>
      </c>
      <c r="Q42" s="349" t="s">
        <v>89</v>
      </c>
      <c r="R42" s="360">
        <v>1</v>
      </c>
      <c r="S42" s="349" t="s">
        <v>90</v>
      </c>
      <c r="U42" s="108" t="s">
        <v>86</v>
      </c>
      <c r="V42" s="360">
        <v>4.0999999999999999E-4</v>
      </c>
      <c r="W42" s="349" t="s">
        <v>87</v>
      </c>
      <c r="X42" s="361">
        <f>V12</f>
        <v>705278</v>
      </c>
      <c r="Y42" s="349" t="s">
        <v>346</v>
      </c>
      <c r="Z42" s="360">
        <v>0.13800000000000001</v>
      </c>
      <c r="AA42" s="349" t="s">
        <v>89</v>
      </c>
      <c r="AB42" s="360">
        <v>1</v>
      </c>
      <c r="AC42" s="349" t="s">
        <v>90</v>
      </c>
      <c r="AE42" s="108" t="s">
        <v>86</v>
      </c>
      <c r="AF42" s="360">
        <v>4.0999999999999999E-4</v>
      </c>
      <c r="AG42" s="349" t="s">
        <v>87</v>
      </c>
      <c r="AH42" s="361">
        <f>AF12</f>
        <v>118998</v>
      </c>
      <c r="AI42" s="349" t="s">
        <v>346</v>
      </c>
      <c r="AJ42" s="360">
        <v>0.13800000000000001</v>
      </c>
      <c r="AK42" s="349" t="s">
        <v>89</v>
      </c>
      <c r="AL42" s="360">
        <v>1</v>
      </c>
      <c r="AM42" s="349" t="s">
        <v>90</v>
      </c>
    </row>
    <row r="43" spans="1:39" ht="14.25" customHeight="1">
      <c r="A43" s="85"/>
      <c r="B43" s="468"/>
      <c r="C43" s="364" t="s">
        <v>89</v>
      </c>
      <c r="D43" s="468"/>
      <c r="E43" s="364" t="s">
        <v>59</v>
      </c>
      <c r="F43" s="468"/>
      <c r="G43" s="364" t="s">
        <v>88</v>
      </c>
      <c r="H43" s="235">
        <v>2000</v>
      </c>
      <c r="I43" s="85" t="s">
        <v>87</v>
      </c>
      <c r="J43" s="118"/>
      <c r="K43" s="85"/>
      <c r="L43" s="468"/>
      <c r="M43" s="364" t="s">
        <v>89</v>
      </c>
      <c r="N43" s="468"/>
      <c r="O43" s="364" t="s">
        <v>59</v>
      </c>
      <c r="P43" s="468"/>
      <c r="Q43" s="364" t="s">
        <v>88</v>
      </c>
      <c r="R43" s="235">
        <v>2000</v>
      </c>
      <c r="S43" s="85" t="s">
        <v>87</v>
      </c>
      <c r="U43" s="85"/>
      <c r="V43" s="468"/>
      <c r="W43" s="364" t="s">
        <v>89</v>
      </c>
      <c r="X43" s="468"/>
      <c r="Y43" s="364" t="s">
        <v>59</v>
      </c>
      <c r="Z43" s="468"/>
      <c r="AA43" s="364" t="s">
        <v>88</v>
      </c>
      <c r="AB43" s="235">
        <v>2000</v>
      </c>
      <c r="AC43" s="85" t="s">
        <v>87</v>
      </c>
      <c r="AE43" s="85"/>
      <c r="AF43" s="468"/>
      <c r="AG43" s="364" t="s">
        <v>89</v>
      </c>
      <c r="AH43" s="468"/>
      <c r="AI43" s="364" t="s">
        <v>59</v>
      </c>
      <c r="AJ43" s="468"/>
      <c r="AK43" s="364" t="s">
        <v>88</v>
      </c>
      <c r="AL43" s="235">
        <v>2000</v>
      </c>
      <c r="AM43" s="85" t="s">
        <v>87</v>
      </c>
    </row>
    <row r="44" spans="1:39" ht="14.25" customHeight="1">
      <c r="A44" s="85"/>
      <c r="B44" s="85"/>
      <c r="C44" s="85"/>
      <c r="D44" s="85"/>
      <c r="E44" s="85"/>
      <c r="F44" s="85"/>
      <c r="G44" s="85"/>
      <c r="H44" s="85"/>
      <c r="I44" s="85"/>
      <c r="J44" s="118"/>
      <c r="K44" s="85"/>
      <c r="L44" s="85"/>
      <c r="M44" s="85"/>
      <c r="N44" s="85"/>
      <c r="O44" s="85"/>
      <c r="P44" s="85"/>
      <c r="Q44" s="85"/>
      <c r="R44" s="85"/>
      <c r="S44" s="85"/>
      <c r="U44" s="85"/>
      <c r="V44" s="85"/>
      <c r="W44" s="85"/>
      <c r="X44" s="85"/>
      <c r="Y44" s="85"/>
      <c r="Z44" s="85"/>
      <c r="AA44" s="85"/>
      <c r="AB44" s="85"/>
      <c r="AC44" s="85"/>
      <c r="AE44" s="85"/>
      <c r="AF44" s="85"/>
      <c r="AG44" s="85"/>
      <c r="AH44" s="85"/>
      <c r="AI44" s="85"/>
      <c r="AJ44" s="85"/>
      <c r="AK44" s="85"/>
      <c r="AL44" s="85"/>
      <c r="AM44" s="85"/>
    </row>
    <row r="45" spans="1:39" ht="14.25" customHeight="1">
      <c r="A45" s="108" t="s">
        <v>86</v>
      </c>
      <c r="B45" s="114">
        <f>(B42*D42*F42)/H43</f>
        <v>4.8291030000000004E-5</v>
      </c>
      <c r="C45" s="115" t="s">
        <v>90</v>
      </c>
      <c r="D45" s="85"/>
      <c r="E45" s="108" t="s">
        <v>86</v>
      </c>
      <c r="F45" s="369">
        <f>B45*2000/8760</f>
        <v>1.1025349315068494E-5</v>
      </c>
      <c r="G45" s="349" t="s">
        <v>87</v>
      </c>
      <c r="H45" s="85"/>
      <c r="I45" s="85"/>
      <c r="J45" s="118"/>
      <c r="K45" s="108" t="s">
        <v>86</v>
      </c>
      <c r="L45" s="114">
        <f>(L42*N42*P42)/R43</f>
        <v>7.9741871700000008E-3</v>
      </c>
      <c r="M45" s="115" t="s">
        <v>90</v>
      </c>
      <c r="N45" s="85"/>
      <c r="O45" s="108" t="s">
        <v>86</v>
      </c>
      <c r="P45" s="369">
        <f>L45*2000/8760</f>
        <v>1.8205906780821919E-3</v>
      </c>
      <c r="Q45" s="349" t="s">
        <v>87</v>
      </c>
      <c r="R45" s="85"/>
      <c r="S45" s="85"/>
      <c r="U45" s="108" t="s">
        <v>86</v>
      </c>
      <c r="V45" s="114">
        <f>(V42*X42*Z42)/AB43</f>
        <v>1.9952314619999998E-2</v>
      </c>
      <c r="W45" s="115" t="s">
        <v>90</v>
      </c>
      <c r="X45" s="85"/>
      <c r="Y45" s="108" t="s">
        <v>86</v>
      </c>
      <c r="Z45" s="369">
        <f>V45*2000/8760</f>
        <v>4.5553229726027393E-3</v>
      </c>
      <c r="AA45" s="349" t="s">
        <v>87</v>
      </c>
      <c r="AB45" s="85"/>
      <c r="AC45" s="85"/>
      <c r="AE45" s="108" t="s">
        <v>86</v>
      </c>
      <c r="AF45" s="114">
        <f>(AF42*AH42*AJ42)/AL43</f>
        <v>3.3664534200000006E-3</v>
      </c>
      <c r="AG45" s="115" t="s">
        <v>90</v>
      </c>
      <c r="AH45" s="85"/>
      <c r="AI45" s="108" t="s">
        <v>86</v>
      </c>
      <c r="AJ45" s="369">
        <f>AF45*2000/8760</f>
        <v>7.6859667123287687E-4</v>
      </c>
      <c r="AK45" s="349" t="s">
        <v>87</v>
      </c>
      <c r="AL45" s="85"/>
      <c r="AM45" s="85"/>
    </row>
    <row r="46" spans="1:39" ht="14.25" customHeight="1">
      <c r="A46" s="85"/>
      <c r="B46" s="85"/>
      <c r="C46" s="118" t="s">
        <v>59</v>
      </c>
      <c r="D46" s="85"/>
      <c r="E46" s="85"/>
      <c r="F46" s="85"/>
      <c r="G46" s="85" t="s">
        <v>92</v>
      </c>
      <c r="H46" s="85"/>
      <c r="I46" s="85"/>
      <c r="J46" s="118"/>
      <c r="K46" s="85"/>
      <c r="L46" s="85"/>
      <c r="M46" s="118" t="s">
        <v>59</v>
      </c>
      <c r="N46" s="85"/>
      <c r="O46" s="85"/>
      <c r="P46" s="85"/>
      <c r="Q46" s="85" t="s">
        <v>92</v>
      </c>
      <c r="R46" s="85"/>
      <c r="S46" s="85"/>
      <c r="U46" s="85"/>
      <c r="V46" s="85"/>
      <c r="W46" s="118" t="s">
        <v>59</v>
      </c>
      <c r="X46" s="85"/>
      <c r="Y46" s="85"/>
      <c r="Z46" s="85"/>
      <c r="AA46" s="85" t="s">
        <v>92</v>
      </c>
      <c r="AB46" s="85"/>
      <c r="AC46" s="85"/>
      <c r="AE46" s="85"/>
      <c r="AF46" s="85"/>
      <c r="AG46" s="118" t="s">
        <v>59</v>
      </c>
      <c r="AH46" s="85"/>
      <c r="AI46" s="85"/>
      <c r="AJ46" s="85"/>
      <c r="AK46" s="85" t="s">
        <v>92</v>
      </c>
      <c r="AL46" s="85"/>
      <c r="AM46" s="85"/>
    </row>
    <row r="47" spans="1:39" ht="14.25" customHeight="1">
      <c r="A47" s="85"/>
      <c r="B47" s="85"/>
      <c r="C47" s="118"/>
      <c r="D47" s="85"/>
      <c r="E47" s="85"/>
      <c r="F47" s="85"/>
      <c r="G47" s="85"/>
      <c r="H47" s="85"/>
      <c r="I47" s="85"/>
      <c r="J47" s="118"/>
      <c r="K47" s="85"/>
      <c r="L47" s="85"/>
      <c r="M47" s="118"/>
      <c r="N47" s="85"/>
      <c r="O47" s="85"/>
      <c r="P47" s="85"/>
      <c r="Q47" s="85"/>
      <c r="R47" s="85"/>
      <c r="S47" s="85"/>
      <c r="U47" s="85"/>
      <c r="V47" s="85"/>
      <c r="W47" s="118"/>
      <c r="X47" s="85"/>
      <c r="Y47" s="85"/>
      <c r="Z47" s="85"/>
      <c r="AA47" s="85"/>
      <c r="AB47" s="85"/>
      <c r="AC47" s="85"/>
      <c r="AE47" s="85"/>
      <c r="AF47" s="85"/>
      <c r="AG47" s="118"/>
      <c r="AH47" s="85"/>
      <c r="AI47" s="85"/>
      <c r="AJ47" s="85"/>
      <c r="AK47" s="85"/>
      <c r="AL47" s="85"/>
      <c r="AM47" s="85"/>
    </row>
    <row r="48" spans="1:39" ht="14.25" customHeight="1">
      <c r="A48" s="85"/>
      <c r="B48" s="85"/>
      <c r="C48" s="118"/>
      <c r="D48" s="85"/>
      <c r="E48" s="85"/>
      <c r="F48" s="85"/>
      <c r="G48" s="85"/>
      <c r="H48" s="85"/>
      <c r="I48" s="85"/>
      <c r="J48" s="118"/>
      <c r="K48" s="85"/>
      <c r="L48" s="85"/>
      <c r="M48" s="118"/>
      <c r="N48" s="85"/>
      <c r="O48" s="85"/>
      <c r="P48" s="85"/>
      <c r="Q48" s="85"/>
      <c r="R48" s="85"/>
      <c r="S48" s="85"/>
      <c r="U48" s="85"/>
      <c r="V48" s="85"/>
      <c r="W48" s="118"/>
      <c r="X48" s="85"/>
      <c r="Y48" s="85"/>
      <c r="Z48" s="85"/>
      <c r="AA48" s="85"/>
      <c r="AB48" s="85"/>
      <c r="AC48" s="85"/>
      <c r="AE48" s="85"/>
      <c r="AF48" s="85"/>
      <c r="AG48" s="118"/>
      <c r="AH48" s="85"/>
      <c r="AI48" s="85"/>
      <c r="AJ48" s="85"/>
      <c r="AK48" s="85"/>
      <c r="AL48" s="85"/>
      <c r="AM48" s="85"/>
    </row>
    <row r="49" spans="1:39" ht="14.25" customHeight="1">
      <c r="A49" s="85"/>
      <c r="B49" s="85"/>
      <c r="C49" s="118"/>
      <c r="D49" s="85"/>
      <c r="E49" s="85"/>
      <c r="F49" s="85"/>
      <c r="G49" s="85"/>
      <c r="H49" s="85"/>
      <c r="I49" s="85"/>
      <c r="J49" s="118"/>
      <c r="K49" s="85"/>
      <c r="L49" s="85"/>
      <c r="M49" s="118"/>
      <c r="N49" s="85"/>
      <c r="O49" s="85"/>
      <c r="P49" s="85"/>
      <c r="Q49" s="85"/>
      <c r="R49" s="85"/>
      <c r="S49" s="85"/>
      <c r="U49" s="85"/>
      <c r="V49" s="85"/>
      <c r="W49" s="118"/>
      <c r="X49" s="85"/>
      <c r="Y49" s="85"/>
      <c r="Z49" s="85"/>
      <c r="AA49" s="85"/>
      <c r="AB49" s="85"/>
      <c r="AC49" s="85"/>
      <c r="AE49" s="85"/>
      <c r="AF49" s="85"/>
      <c r="AG49" s="118"/>
      <c r="AH49" s="85"/>
      <c r="AI49" s="85"/>
      <c r="AJ49" s="85"/>
      <c r="AK49" s="85"/>
      <c r="AL49" s="85"/>
      <c r="AM49" s="85"/>
    </row>
    <row r="50" spans="1:39" ht="14.25" customHeight="1">
      <c r="A50" s="85"/>
      <c r="B50" s="85"/>
      <c r="C50" s="118"/>
      <c r="D50" s="85"/>
      <c r="E50" s="85"/>
      <c r="F50" s="85"/>
      <c r="G50" s="85"/>
      <c r="H50" s="85"/>
      <c r="I50" s="85"/>
      <c r="J50" s="118"/>
      <c r="K50" s="85"/>
      <c r="L50" s="85"/>
      <c r="M50" s="118"/>
      <c r="N50" s="85"/>
      <c r="O50" s="85"/>
      <c r="P50" s="85"/>
      <c r="Q50" s="85"/>
      <c r="R50" s="85"/>
      <c r="S50" s="85"/>
      <c r="U50" s="85"/>
      <c r="V50" s="85"/>
      <c r="W50" s="118"/>
      <c r="X50" s="85"/>
      <c r="Y50" s="85"/>
      <c r="Z50" s="85"/>
      <c r="AA50" s="85"/>
      <c r="AB50" s="85"/>
      <c r="AC50" s="85"/>
      <c r="AE50" s="85"/>
      <c r="AF50" s="85"/>
      <c r="AG50" s="118"/>
      <c r="AH50" s="85"/>
      <c r="AI50" s="85"/>
      <c r="AJ50" s="85"/>
      <c r="AK50" s="85"/>
      <c r="AL50" s="85"/>
      <c r="AM50" s="85"/>
    </row>
    <row r="51" spans="1:39" ht="14.25" customHeight="1">
      <c r="A51" s="574" t="s">
        <v>368</v>
      </c>
      <c r="B51" s="574"/>
      <c r="C51" s="574"/>
      <c r="D51" s="574"/>
      <c r="E51" s="574"/>
      <c r="F51" s="574"/>
      <c r="G51" s="574"/>
      <c r="H51" s="574"/>
      <c r="I51" s="574"/>
      <c r="J51" s="81"/>
      <c r="K51" s="574" t="s">
        <v>369</v>
      </c>
      <c r="L51" s="574"/>
      <c r="M51" s="574"/>
      <c r="N51" s="574"/>
      <c r="O51" s="574"/>
      <c r="P51" s="574"/>
      <c r="Q51" s="574"/>
      <c r="R51" s="574"/>
      <c r="S51" s="574"/>
      <c r="U51" s="574" t="s">
        <v>362</v>
      </c>
      <c r="V51" s="574"/>
      <c r="W51" s="574"/>
      <c r="X51" s="574"/>
      <c r="Y51" s="574"/>
      <c r="Z51" s="574"/>
      <c r="AA51" s="574"/>
      <c r="AB51" s="574"/>
      <c r="AC51" s="574"/>
      <c r="AE51" s="574" t="s">
        <v>363</v>
      </c>
      <c r="AF51" s="574"/>
      <c r="AG51" s="574"/>
      <c r="AH51" s="574"/>
      <c r="AI51" s="574"/>
      <c r="AJ51" s="574"/>
      <c r="AK51" s="574"/>
      <c r="AL51" s="574"/>
      <c r="AM51" s="574"/>
    </row>
    <row r="52" spans="1:39" ht="14.25" customHeight="1">
      <c r="A52" s="85"/>
      <c r="B52" s="85"/>
      <c r="C52" s="85"/>
      <c r="D52" s="85"/>
      <c r="E52" s="85"/>
      <c r="F52" s="85"/>
      <c r="G52" s="85"/>
      <c r="H52" s="85"/>
      <c r="I52" s="85"/>
      <c r="J52" s="118"/>
      <c r="K52" s="85"/>
      <c r="L52" s="85"/>
      <c r="M52" s="85"/>
      <c r="N52" s="85"/>
      <c r="O52" s="85"/>
      <c r="P52" s="85"/>
      <c r="Q52" s="85"/>
      <c r="R52" s="85"/>
      <c r="S52" s="85"/>
      <c r="U52" s="85"/>
      <c r="V52" s="85"/>
      <c r="W52" s="85"/>
      <c r="X52" s="85"/>
      <c r="Y52" s="85"/>
      <c r="Z52" s="85"/>
      <c r="AA52" s="85"/>
      <c r="AB52" s="85"/>
      <c r="AC52" s="85"/>
      <c r="AE52" s="85"/>
      <c r="AF52" s="85"/>
      <c r="AG52" s="85"/>
      <c r="AH52" s="85"/>
      <c r="AI52" s="85"/>
      <c r="AJ52" s="85"/>
      <c r="AK52" s="85"/>
      <c r="AL52" s="85"/>
      <c r="AM52" s="85"/>
    </row>
    <row r="53" spans="1:39" ht="14.25" customHeight="1">
      <c r="A53" s="85" t="s">
        <v>96</v>
      </c>
      <c r="B53" s="85"/>
      <c r="C53" s="85"/>
      <c r="D53" s="85"/>
      <c r="E53" s="85"/>
      <c r="F53" s="85"/>
      <c r="G53" s="85"/>
      <c r="H53" s="85"/>
      <c r="I53" s="85"/>
      <c r="J53" s="118"/>
      <c r="K53" s="85" t="s">
        <v>96</v>
      </c>
      <c r="L53" s="85"/>
      <c r="M53" s="85"/>
      <c r="N53" s="85"/>
      <c r="O53" s="85"/>
      <c r="P53" s="85"/>
      <c r="Q53" s="85"/>
      <c r="R53" s="85"/>
      <c r="S53" s="85"/>
      <c r="U53" s="85" t="s">
        <v>96</v>
      </c>
      <c r="V53" s="85"/>
      <c r="W53" s="85"/>
      <c r="X53" s="85"/>
      <c r="Y53" s="85"/>
      <c r="Z53" s="85"/>
      <c r="AA53" s="85"/>
      <c r="AB53" s="85"/>
      <c r="AC53" s="85"/>
      <c r="AE53" s="85" t="s">
        <v>96</v>
      </c>
      <c r="AF53" s="85"/>
      <c r="AG53" s="85"/>
      <c r="AH53" s="85"/>
      <c r="AI53" s="85"/>
      <c r="AJ53" s="85"/>
      <c r="AK53" s="85"/>
      <c r="AL53" s="85"/>
      <c r="AM53" s="85"/>
    </row>
    <row r="54" spans="1:39" ht="14.25" customHeight="1">
      <c r="A54" s="85"/>
      <c r="B54" s="85"/>
      <c r="C54" s="85"/>
      <c r="D54" s="85"/>
      <c r="E54" s="85"/>
      <c r="F54" s="85"/>
      <c r="G54" s="85"/>
      <c r="H54" s="85"/>
      <c r="I54" s="85"/>
      <c r="J54" s="118"/>
      <c r="K54" s="85"/>
      <c r="L54" s="85"/>
      <c r="M54" s="85"/>
      <c r="N54" s="85"/>
      <c r="O54" s="85"/>
      <c r="P54" s="85"/>
      <c r="Q54" s="85"/>
      <c r="R54" s="85"/>
      <c r="S54" s="85"/>
      <c r="U54" s="85"/>
      <c r="V54" s="85"/>
      <c r="W54" s="85"/>
      <c r="X54" s="85"/>
      <c r="Y54" s="85"/>
      <c r="Z54" s="85"/>
      <c r="AA54" s="85"/>
      <c r="AB54" s="85"/>
      <c r="AC54" s="85"/>
      <c r="AE54" s="85"/>
      <c r="AF54" s="85"/>
      <c r="AG54" s="85"/>
      <c r="AH54" s="85"/>
      <c r="AI54" s="85"/>
      <c r="AJ54" s="85"/>
      <c r="AK54" s="85"/>
      <c r="AL54" s="85"/>
      <c r="AM54" s="85"/>
    </row>
    <row r="55" spans="1:39" ht="14.25" customHeight="1">
      <c r="A55" s="108" t="s">
        <v>86</v>
      </c>
      <c r="B55" s="360">
        <v>3.3E-3</v>
      </c>
      <c r="C55" s="349" t="s">
        <v>87</v>
      </c>
      <c r="D55" s="361">
        <f>B12</f>
        <v>1707</v>
      </c>
      <c r="E55" s="349" t="s">
        <v>346</v>
      </c>
      <c r="F55" s="360">
        <v>0.13800000000000001</v>
      </c>
      <c r="G55" s="349" t="s">
        <v>89</v>
      </c>
      <c r="H55" s="360">
        <v>1</v>
      </c>
      <c r="I55" s="349" t="s">
        <v>90</v>
      </c>
      <c r="J55" s="118"/>
      <c r="K55" s="108" t="s">
        <v>86</v>
      </c>
      <c r="L55" s="360">
        <v>3.3E-3</v>
      </c>
      <c r="M55" s="349" t="s">
        <v>87</v>
      </c>
      <c r="N55" s="361">
        <f>L12</f>
        <v>281873</v>
      </c>
      <c r="O55" s="349" t="s">
        <v>346</v>
      </c>
      <c r="P55" s="360">
        <v>0.13800000000000001</v>
      </c>
      <c r="Q55" s="349" t="s">
        <v>89</v>
      </c>
      <c r="R55" s="360">
        <v>1</v>
      </c>
      <c r="S55" s="349" t="s">
        <v>90</v>
      </c>
      <c r="U55" s="108" t="s">
        <v>86</v>
      </c>
      <c r="V55" s="360">
        <v>3.3E-3</v>
      </c>
      <c r="W55" s="349" t="s">
        <v>87</v>
      </c>
      <c r="X55" s="361">
        <f>V12</f>
        <v>705278</v>
      </c>
      <c r="Y55" s="349" t="s">
        <v>346</v>
      </c>
      <c r="Z55" s="360">
        <v>0.13800000000000001</v>
      </c>
      <c r="AA55" s="349" t="s">
        <v>89</v>
      </c>
      <c r="AB55" s="360">
        <v>1</v>
      </c>
      <c r="AC55" s="349" t="s">
        <v>90</v>
      </c>
      <c r="AE55" s="108" t="s">
        <v>86</v>
      </c>
      <c r="AF55" s="360">
        <v>3.3E-3</v>
      </c>
      <c r="AG55" s="349" t="s">
        <v>87</v>
      </c>
      <c r="AH55" s="361">
        <f>AF12</f>
        <v>118998</v>
      </c>
      <c r="AI55" s="349" t="s">
        <v>346</v>
      </c>
      <c r="AJ55" s="360">
        <v>0.13800000000000001</v>
      </c>
      <c r="AK55" s="349" t="s">
        <v>89</v>
      </c>
      <c r="AL55" s="360">
        <v>1</v>
      </c>
      <c r="AM55" s="349" t="s">
        <v>90</v>
      </c>
    </row>
    <row r="56" spans="1:39" ht="14.25" customHeight="1">
      <c r="A56" s="85"/>
      <c r="B56" s="468"/>
      <c r="C56" s="364" t="s">
        <v>89</v>
      </c>
      <c r="D56" s="468"/>
      <c r="E56" s="364" t="s">
        <v>59</v>
      </c>
      <c r="F56" s="468"/>
      <c r="G56" s="364" t="s">
        <v>88</v>
      </c>
      <c r="H56" s="235">
        <v>2000</v>
      </c>
      <c r="I56" s="85" t="s">
        <v>87</v>
      </c>
      <c r="J56" s="118"/>
      <c r="K56" s="85"/>
      <c r="L56" s="468"/>
      <c r="M56" s="364" t="s">
        <v>89</v>
      </c>
      <c r="N56" s="468"/>
      <c r="O56" s="364" t="s">
        <v>59</v>
      </c>
      <c r="P56" s="468"/>
      <c r="Q56" s="364" t="s">
        <v>88</v>
      </c>
      <c r="R56" s="235">
        <v>2000</v>
      </c>
      <c r="S56" s="85" t="s">
        <v>87</v>
      </c>
      <c r="U56" s="85"/>
      <c r="V56" s="468"/>
      <c r="W56" s="364" t="s">
        <v>89</v>
      </c>
      <c r="X56" s="468"/>
      <c r="Y56" s="364" t="s">
        <v>59</v>
      </c>
      <c r="Z56" s="468"/>
      <c r="AA56" s="364" t="s">
        <v>88</v>
      </c>
      <c r="AB56" s="235">
        <v>2000</v>
      </c>
      <c r="AC56" s="85" t="s">
        <v>87</v>
      </c>
      <c r="AE56" s="85"/>
      <c r="AF56" s="468"/>
      <c r="AG56" s="364" t="s">
        <v>89</v>
      </c>
      <c r="AH56" s="468"/>
      <c r="AI56" s="364" t="s">
        <v>59</v>
      </c>
      <c r="AJ56" s="468"/>
      <c r="AK56" s="364" t="s">
        <v>88</v>
      </c>
      <c r="AL56" s="235">
        <v>2000</v>
      </c>
      <c r="AM56" s="85" t="s">
        <v>87</v>
      </c>
    </row>
    <row r="57" spans="1:39" ht="14.25" customHeight="1">
      <c r="A57" s="85"/>
      <c r="B57" s="85"/>
      <c r="C57" s="85"/>
      <c r="D57" s="85"/>
      <c r="E57" s="85"/>
      <c r="F57" s="85"/>
      <c r="G57" s="85"/>
      <c r="H57" s="85"/>
      <c r="I57" s="85"/>
      <c r="J57" s="118"/>
      <c r="K57" s="85"/>
      <c r="L57" s="85"/>
      <c r="M57" s="85"/>
      <c r="N57" s="85"/>
      <c r="O57" s="85"/>
      <c r="P57" s="85"/>
      <c r="Q57" s="85"/>
      <c r="R57" s="85"/>
      <c r="S57" s="85"/>
      <c r="U57" s="85"/>
      <c r="V57" s="85"/>
      <c r="W57" s="85"/>
      <c r="X57" s="85"/>
      <c r="Y57" s="85"/>
      <c r="Z57" s="85"/>
      <c r="AA57" s="85"/>
      <c r="AB57" s="85"/>
      <c r="AC57" s="85"/>
      <c r="AE57" s="85"/>
      <c r="AF57" s="85"/>
      <c r="AG57" s="85"/>
      <c r="AH57" s="85"/>
      <c r="AI57" s="85"/>
      <c r="AJ57" s="85"/>
      <c r="AK57" s="85"/>
      <c r="AL57" s="85"/>
      <c r="AM57" s="85"/>
    </row>
    <row r="58" spans="1:39" ht="14.25" customHeight="1">
      <c r="A58" s="108" t="s">
        <v>86</v>
      </c>
      <c r="B58" s="114">
        <f>(B55*D55*F55)/H56</f>
        <v>3.886839E-4</v>
      </c>
      <c r="C58" s="115" t="s">
        <v>90</v>
      </c>
      <c r="D58" s="85"/>
      <c r="E58" s="108" t="s">
        <v>86</v>
      </c>
      <c r="F58" s="369">
        <f>B58*2000/8760</f>
        <v>8.8740616438356165E-5</v>
      </c>
      <c r="G58" s="349" t="s">
        <v>87</v>
      </c>
      <c r="H58" s="85"/>
      <c r="I58" s="85"/>
      <c r="J58" s="118"/>
      <c r="K58" s="108" t="s">
        <v>86</v>
      </c>
      <c r="L58" s="114">
        <f>(L55*N55*P55)/R56</f>
        <v>6.4182482100000007E-2</v>
      </c>
      <c r="M58" s="115" t="s">
        <v>90</v>
      </c>
      <c r="N58" s="85"/>
      <c r="O58" s="108" t="s">
        <v>86</v>
      </c>
      <c r="P58" s="369">
        <f>L58*2000/8760</f>
        <v>1.4653534726027397E-2</v>
      </c>
      <c r="Q58" s="349" t="s">
        <v>87</v>
      </c>
      <c r="R58" s="85"/>
      <c r="S58" s="85"/>
      <c r="U58" s="108" t="s">
        <v>86</v>
      </c>
      <c r="V58" s="114">
        <f>(V55*X55*Z55)/AB56</f>
        <v>0.1605918006</v>
      </c>
      <c r="W58" s="115" t="s">
        <v>90</v>
      </c>
      <c r="X58" s="85"/>
      <c r="Y58" s="108" t="s">
        <v>86</v>
      </c>
      <c r="Z58" s="369">
        <f>V58*2000/8760</f>
        <v>3.666479465753425E-2</v>
      </c>
      <c r="AA58" s="349" t="s">
        <v>87</v>
      </c>
      <c r="AB58" s="85"/>
      <c r="AC58" s="85"/>
      <c r="AE58" s="108" t="s">
        <v>86</v>
      </c>
      <c r="AF58" s="114">
        <f>(AF55*AH55*AJ55)/AL56</f>
        <v>2.7095844600000002E-2</v>
      </c>
      <c r="AG58" s="115" t="s">
        <v>90</v>
      </c>
      <c r="AH58" s="85"/>
      <c r="AI58" s="108" t="s">
        <v>86</v>
      </c>
      <c r="AJ58" s="369">
        <f>AF58*2000/8760</f>
        <v>6.1862658904109592E-3</v>
      </c>
      <c r="AK58" s="349" t="s">
        <v>87</v>
      </c>
      <c r="AL58" s="85"/>
      <c r="AM58" s="85"/>
    </row>
    <row r="59" spans="1:39" ht="14.25" customHeight="1">
      <c r="A59" s="85"/>
      <c r="B59" s="85"/>
      <c r="C59" s="118" t="s">
        <v>59</v>
      </c>
      <c r="D59" s="85"/>
      <c r="E59" s="85"/>
      <c r="F59" s="85"/>
      <c r="G59" s="85" t="s">
        <v>92</v>
      </c>
      <c r="H59" s="85"/>
      <c r="I59" s="85"/>
      <c r="J59" s="118"/>
      <c r="K59" s="85"/>
      <c r="L59" s="85"/>
      <c r="M59" s="118" t="s">
        <v>59</v>
      </c>
      <c r="N59" s="85"/>
      <c r="O59" s="85"/>
      <c r="P59" s="85"/>
      <c r="Q59" s="85" t="s">
        <v>92</v>
      </c>
      <c r="R59" s="85"/>
      <c r="S59" s="85"/>
      <c r="U59" s="85"/>
      <c r="V59" s="85"/>
      <c r="W59" s="118" t="s">
        <v>59</v>
      </c>
      <c r="X59" s="85"/>
      <c r="Y59" s="85"/>
      <c r="Z59" s="85"/>
      <c r="AA59" s="85" t="s">
        <v>92</v>
      </c>
      <c r="AB59" s="85"/>
      <c r="AC59" s="85"/>
      <c r="AE59" s="85"/>
      <c r="AF59" s="85"/>
      <c r="AG59" s="118" t="s">
        <v>59</v>
      </c>
      <c r="AH59" s="85"/>
      <c r="AI59" s="85"/>
      <c r="AJ59" s="85"/>
      <c r="AK59" s="85" t="s">
        <v>92</v>
      </c>
      <c r="AL59" s="85"/>
      <c r="AM59" s="85"/>
    </row>
    <row r="60" spans="1:39" ht="14.25" customHeight="1">
      <c r="A60" s="85"/>
      <c r="B60" s="85"/>
      <c r="C60" s="85"/>
      <c r="D60" s="85"/>
      <c r="E60" s="85"/>
      <c r="F60" s="85"/>
      <c r="G60" s="85"/>
      <c r="H60" s="85"/>
      <c r="I60" s="85"/>
      <c r="J60" s="118"/>
      <c r="K60" s="85"/>
      <c r="L60" s="85"/>
      <c r="M60" s="85"/>
      <c r="N60" s="85"/>
      <c r="O60" s="85"/>
      <c r="P60" s="85"/>
      <c r="Q60" s="85"/>
      <c r="R60" s="85"/>
      <c r="S60" s="85"/>
      <c r="U60" s="85"/>
      <c r="V60" s="85"/>
      <c r="W60" s="85"/>
      <c r="X60" s="85"/>
      <c r="Y60" s="85"/>
      <c r="Z60" s="85"/>
      <c r="AA60" s="85"/>
      <c r="AB60" s="85"/>
      <c r="AC60" s="85"/>
      <c r="AE60" s="85"/>
      <c r="AF60" s="85"/>
      <c r="AG60" s="85"/>
      <c r="AH60" s="85"/>
      <c r="AI60" s="85"/>
      <c r="AJ60" s="85"/>
      <c r="AK60" s="85"/>
      <c r="AL60" s="85"/>
      <c r="AM60" s="85"/>
    </row>
    <row r="61" spans="1:39" ht="14.25" customHeight="1">
      <c r="A61" s="85" t="s">
        <v>97</v>
      </c>
      <c r="B61" s="85"/>
      <c r="C61" s="85"/>
      <c r="D61" s="85"/>
      <c r="E61" s="85"/>
      <c r="F61" s="85"/>
      <c r="G61" s="85"/>
      <c r="H61" s="85"/>
      <c r="I61" s="85"/>
      <c r="J61" s="118"/>
      <c r="K61" s="85" t="s">
        <v>97</v>
      </c>
      <c r="L61" s="85"/>
      <c r="M61" s="85"/>
      <c r="N61" s="85"/>
      <c r="O61" s="85"/>
      <c r="P61" s="85"/>
      <c r="Q61" s="85"/>
      <c r="R61" s="85"/>
      <c r="S61" s="85"/>
      <c r="U61" s="85" t="s">
        <v>97</v>
      </c>
      <c r="V61" s="85"/>
      <c r="W61" s="85"/>
      <c r="X61" s="85"/>
      <c r="Y61" s="85"/>
      <c r="Z61" s="85"/>
      <c r="AA61" s="85"/>
      <c r="AB61" s="85"/>
      <c r="AC61" s="85"/>
      <c r="AE61" s="85" t="s">
        <v>97</v>
      </c>
      <c r="AF61" s="85"/>
      <c r="AG61" s="85"/>
      <c r="AH61" s="85"/>
      <c r="AI61" s="85"/>
      <c r="AJ61" s="85"/>
      <c r="AK61" s="85"/>
      <c r="AL61" s="85"/>
      <c r="AM61" s="85"/>
    </row>
    <row r="62" spans="1:39" ht="14.25" customHeight="1">
      <c r="A62" s="85"/>
      <c r="B62" s="85"/>
      <c r="C62" s="85"/>
      <c r="D62" s="85"/>
      <c r="E62" s="85"/>
      <c r="F62" s="85"/>
      <c r="G62" s="85"/>
      <c r="H62" s="85"/>
      <c r="I62" s="85"/>
      <c r="J62" s="118"/>
      <c r="K62" s="85"/>
      <c r="L62" s="85"/>
      <c r="M62" s="85"/>
      <c r="N62" s="85"/>
      <c r="O62" s="85"/>
      <c r="P62" s="85"/>
      <c r="Q62" s="85"/>
      <c r="R62" s="85"/>
      <c r="S62" s="85"/>
      <c r="U62" s="85"/>
      <c r="V62" s="85"/>
      <c r="W62" s="85"/>
      <c r="X62" s="85"/>
      <c r="Y62" s="85"/>
      <c r="Z62" s="85"/>
      <c r="AA62" s="85"/>
      <c r="AB62" s="85"/>
      <c r="AC62" s="85"/>
      <c r="AE62" s="85"/>
      <c r="AF62" s="85"/>
      <c r="AG62" s="85"/>
      <c r="AH62" s="85"/>
      <c r="AI62" s="85"/>
      <c r="AJ62" s="85"/>
      <c r="AK62" s="85"/>
      <c r="AL62" s="85"/>
      <c r="AM62" s="85"/>
    </row>
    <row r="63" spans="1:39" ht="14.25" customHeight="1">
      <c r="A63" s="108" t="s">
        <v>86</v>
      </c>
      <c r="B63" s="360">
        <v>1.4E-5</v>
      </c>
      <c r="C63" s="349" t="s">
        <v>87</v>
      </c>
      <c r="D63" s="361">
        <f>B12</f>
        <v>1707</v>
      </c>
      <c r="E63" s="349" t="s">
        <v>346</v>
      </c>
      <c r="F63" s="360">
        <v>0.13800000000000001</v>
      </c>
      <c r="G63" s="349" t="s">
        <v>89</v>
      </c>
      <c r="H63" s="360">
        <v>1</v>
      </c>
      <c r="I63" s="349" t="s">
        <v>90</v>
      </c>
      <c r="J63" s="118"/>
      <c r="K63" s="108" t="s">
        <v>86</v>
      </c>
      <c r="L63" s="360">
        <v>1.4E-5</v>
      </c>
      <c r="M63" s="349" t="s">
        <v>87</v>
      </c>
      <c r="N63" s="361">
        <f>L12</f>
        <v>281873</v>
      </c>
      <c r="O63" s="349" t="s">
        <v>346</v>
      </c>
      <c r="P63" s="360">
        <v>0.13800000000000001</v>
      </c>
      <c r="Q63" s="349" t="s">
        <v>89</v>
      </c>
      <c r="R63" s="360">
        <v>1</v>
      </c>
      <c r="S63" s="349" t="s">
        <v>90</v>
      </c>
      <c r="U63" s="108" t="s">
        <v>86</v>
      </c>
      <c r="V63" s="360">
        <v>1.4E-5</v>
      </c>
      <c r="W63" s="349" t="s">
        <v>87</v>
      </c>
      <c r="X63" s="361">
        <f>V12</f>
        <v>705278</v>
      </c>
      <c r="Y63" s="349" t="s">
        <v>346</v>
      </c>
      <c r="Z63" s="360">
        <v>0.13800000000000001</v>
      </c>
      <c r="AA63" s="349" t="s">
        <v>89</v>
      </c>
      <c r="AB63" s="360">
        <v>1</v>
      </c>
      <c r="AC63" s="349" t="s">
        <v>90</v>
      </c>
      <c r="AE63" s="108" t="s">
        <v>86</v>
      </c>
      <c r="AF63" s="360">
        <v>1.4E-5</v>
      </c>
      <c r="AG63" s="349" t="s">
        <v>87</v>
      </c>
      <c r="AH63" s="361">
        <f>AF12</f>
        <v>118998</v>
      </c>
      <c r="AI63" s="349" t="s">
        <v>346</v>
      </c>
      <c r="AJ63" s="360">
        <v>0.13800000000000001</v>
      </c>
      <c r="AK63" s="349" t="s">
        <v>89</v>
      </c>
      <c r="AL63" s="360">
        <v>1</v>
      </c>
      <c r="AM63" s="349" t="s">
        <v>90</v>
      </c>
    </row>
    <row r="64" spans="1:39" ht="14.25" customHeight="1">
      <c r="A64" s="85"/>
      <c r="B64" s="468"/>
      <c r="C64" s="364" t="s">
        <v>89</v>
      </c>
      <c r="D64" s="468"/>
      <c r="E64" s="364" t="s">
        <v>59</v>
      </c>
      <c r="F64" s="468"/>
      <c r="G64" s="364" t="s">
        <v>88</v>
      </c>
      <c r="H64" s="235">
        <v>2000</v>
      </c>
      <c r="I64" s="85" t="s">
        <v>87</v>
      </c>
      <c r="J64" s="118"/>
      <c r="K64" s="85"/>
      <c r="L64" s="468"/>
      <c r="M64" s="364" t="s">
        <v>89</v>
      </c>
      <c r="N64" s="468"/>
      <c r="O64" s="364" t="s">
        <v>59</v>
      </c>
      <c r="P64" s="468"/>
      <c r="Q64" s="364" t="s">
        <v>88</v>
      </c>
      <c r="R64" s="235">
        <v>2000</v>
      </c>
      <c r="S64" s="85" t="s">
        <v>87</v>
      </c>
      <c r="U64" s="85"/>
      <c r="V64" s="468"/>
      <c r="W64" s="364" t="s">
        <v>89</v>
      </c>
      <c r="X64" s="468"/>
      <c r="Y64" s="364" t="s">
        <v>59</v>
      </c>
      <c r="Z64" s="468"/>
      <c r="AA64" s="364" t="s">
        <v>88</v>
      </c>
      <c r="AB64" s="235">
        <v>2000</v>
      </c>
      <c r="AC64" s="85" t="s">
        <v>87</v>
      </c>
      <c r="AE64" s="85"/>
      <c r="AF64" s="468"/>
      <c r="AG64" s="364" t="s">
        <v>89</v>
      </c>
      <c r="AH64" s="468"/>
      <c r="AI64" s="364" t="s">
        <v>59</v>
      </c>
      <c r="AJ64" s="468"/>
      <c r="AK64" s="364" t="s">
        <v>88</v>
      </c>
      <c r="AL64" s="235">
        <v>2000</v>
      </c>
      <c r="AM64" s="85" t="s">
        <v>87</v>
      </c>
    </row>
    <row r="66" spans="1:39" ht="14.25" customHeight="1">
      <c r="A66" s="108" t="s">
        <v>86</v>
      </c>
      <c r="B66" s="114">
        <f>(B63*D63*F63)/H64</f>
        <v>1.6489620000000002E-6</v>
      </c>
      <c r="C66" s="115" t="s">
        <v>90</v>
      </c>
      <c r="D66" s="85"/>
      <c r="E66" s="108" t="s">
        <v>86</v>
      </c>
      <c r="F66" s="369">
        <f>B66*2000/8760</f>
        <v>3.7647534246575344E-7</v>
      </c>
      <c r="G66" s="349" t="s">
        <v>87</v>
      </c>
      <c r="H66" s="85"/>
      <c r="I66" s="85"/>
      <c r="J66" s="85"/>
      <c r="K66" s="108" t="s">
        <v>86</v>
      </c>
      <c r="L66" s="114">
        <f>(L63*N63*P63)/R64</f>
        <v>2.7228931800000008E-4</v>
      </c>
      <c r="M66" s="115" t="s">
        <v>90</v>
      </c>
      <c r="N66" s="85"/>
      <c r="O66" s="108" t="s">
        <v>86</v>
      </c>
      <c r="P66" s="369">
        <f>L66*2000/8760</f>
        <v>6.2166510958904122E-5</v>
      </c>
      <c r="Q66" s="349" t="s">
        <v>87</v>
      </c>
      <c r="R66" s="85"/>
      <c r="S66" s="85"/>
      <c r="T66" s="85"/>
      <c r="U66" s="108" t="s">
        <v>86</v>
      </c>
      <c r="V66" s="114">
        <f>(V63*X63*Z63)/AB64</f>
        <v>6.8129854799999997E-4</v>
      </c>
      <c r="W66" s="115" t="s">
        <v>90</v>
      </c>
      <c r="X66" s="85"/>
      <c r="Y66" s="108" t="s">
        <v>86</v>
      </c>
      <c r="Z66" s="369">
        <f>V66*2000/8760</f>
        <v>1.5554761369863013E-4</v>
      </c>
      <c r="AA66" s="349" t="s">
        <v>87</v>
      </c>
      <c r="AB66" s="85"/>
      <c r="AC66" s="85"/>
      <c r="AE66" s="108" t="s">
        <v>86</v>
      </c>
      <c r="AF66" s="114">
        <f>(AF63*AH63*AJ63)/AL64</f>
        <v>1.1495206800000001E-4</v>
      </c>
      <c r="AG66" s="115" t="s">
        <v>90</v>
      </c>
      <c r="AH66" s="85"/>
      <c r="AI66" s="108" t="s">
        <v>86</v>
      </c>
      <c r="AJ66" s="369">
        <f>AF66*2000/8760</f>
        <v>2.6244764383561646E-5</v>
      </c>
      <c r="AK66" s="349" t="s">
        <v>87</v>
      </c>
      <c r="AL66" s="85"/>
      <c r="AM66" s="85"/>
    </row>
    <row r="67" spans="1:39" ht="14.25" customHeight="1">
      <c r="A67" s="85"/>
      <c r="B67" s="85"/>
      <c r="C67" s="118" t="s">
        <v>59</v>
      </c>
      <c r="D67" s="85"/>
      <c r="E67" s="85"/>
      <c r="F67" s="85"/>
      <c r="G67" s="85" t="s">
        <v>92</v>
      </c>
      <c r="H67" s="85"/>
      <c r="I67" s="85"/>
      <c r="J67" s="85"/>
      <c r="K67" s="85"/>
      <c r="L67" s="85"/>
      <c r="M67" s="118" t="s">
        <v>59</v>
      </c>
      <c r="N67" s="85"/>
      <c r="O67" s="85"/>
      <c r="P67" s="85"/>
      <c r="Q67" s="85" t="s">
        <v>92</v>
      </c>
      <c r="R67" s="85"/>
      <c r="S67" s="85"/>
      <c r="T67" s="85"/>
      <c r="U67" s="85"/>
      <c r="V67" s="85"/>
      <c r="W67" s="118" t="s">
        <v>59</v>
      </c>
      <c r="X67" s="85"/>
      <c r="Y67" s="85"/>
      <c r="Z67" s="85"/>
      <c r="AA67" s="85" t="s">
        <v>92</v>
      </c>
      <c r="AB67" s="85"/>
      <c r="AC67" s="85"/>
      <c r="AE67" s="85"/>
      <c r="AF67" s="85"/>
      <c r="AG67" s="118" t="s">
        <v>59</v>
      </c>
      <c r="AH67" s="85"/>
      <c r="AI67" s="85"/>
      <c r="AJ67" s="85"/>
      <c r="AK67" s="85" t="s">
        <v>92</v>
      </c>
      <c r="AL67" s="85"/>
      <c r="AM67" s="85"/>
    </row>
    <row r="68" spans="1:39" ht="14.25" customHeight="1">
      <c r="R68" s="85"/>
      <c r="S68" s="85"/>
      <c r="T68" s="85"/>
      <c r="U68" s="85"/>
    </row>
    <row r="69" spans="1:39" ht="14.25" customHeight="1">
      <c r="R69" s="85"/>
      <c r="S69" s="85"/>
      <c r="T69" s="85"/>
      <c r="U69" s="85"/>
    </row>
    <row r="70" spans="1:39" ht="14.25" customHeight="1">
      <c r="A70" s="85" t="s">
        <v>98</v>
      </c>
      <c r="B70" s="85"/>
      <c r="C70" s="85"/>
      <c r="D70" s="85"/>
      <c r="E70" s="85"/>
      <c r="F70" s="85"/>
      <c r="G70" s="85"/>
      <c r="K70" s="85" t="s">
        <v>98</v>
      </c>
      <c r="L70" s="85"/>
      <c r="M70" s="85"/>
      <c r="N70" s="85"/>
      <c r="O70" s="85"/>
      <c r="P70" s="85"/>
      <c r="Q70" s="85"/>
      <c r="R70" s="85"/>
      <c r="S70" s="85"/>
      <c r="T70" s="85"/>
      <c r="U70" s="85" t="s">
        <v>98</v>
      </c>
      <c r="V70" s="85"/>
      <c r="W70" s="85"/>
      <c r="X70" s="85"/>
      <c r="Y70" s="85"/>
      <c r="Z70" s="85"/>
      <c r="AA70" s="85"/>
      <c r="AE70" s="85" t="s">
        <v>98</v>
      </c>
      <c r="AF70" s="85"/>
      <c r="AG70" s="85"/>
      <c r="AH70" s="85"/>
      <c r="AI70" s="85"/>
      <c r="AJ70" s="85"/>
      <c r="AK70" s="85"/>
    </row>
    <row r="71" spans="1:39" ht="14.25" customHeight="1">
      <c r="R71" s="85"/>
      <c r="S71" s="85"/>
      <c r="T71" s="85"/>
    </row>
    <row r="72" spans="1:39" ht="14.25" customHeight="1">
      <c r="A72" s="108" t="s">
        <v>86</v>
      </c>
      <c r="B72" s="449">
        <f>AO13</f>
        <v>22.578420600240001</v>
      </c>
      <c r="C72" s="349" t="s">
        <v>87</v>
      </c>
      <c r="D72" s="361">
        <f>D63</f>
        <v>1707</v>
      </c>
      <c r="E72" s="349" t="s">
        <v>88</v>
      </c>
      <c r="F72" s="556"/>
      <c r="G72" s="362" t="s">
        <v>90</v>
      </c>
      <c r="K72" s="108" t="s">
        <v>86</v>
      </c>
      <c r="L72" s="449">
        <f>AO13</f>
        <v>22.578420600240001</v>
      </c>
      <c r="M72" s="349" t="s">
        <v>87</v>
      </c>
      <c r="N72" s="361">
        <f>N63</f>
        <v>281873</v>
      </c>
      <c r="O72" s="349" t="s">
        <v>88</v>
      </c>
      <c r="P72" s="556"/>
      <c r="Q72" s="362" t="s">
        <v>90</v>
      </c>
      <c r="R72" s="85"/>
      <c r="S72" s="85"/>
      <c r="T72" s="85"/>
      <c r="U72" s="108" t="s">
        <v>86</v>
      </c>
      <c r="V72" s="449">
        <f>AO13</f>
        <v>22.578420600240001</v>
      </c>
      <c r="W72" s="349" t="s">
        <v>87</v>
      </c>
      <c r="X72" s="361">
        <f>X63</f>
        <v>705278</v>
      </c>
      <c r="Y72" s="349" t="s">
        <v>88</v>
      </c>
      <c r="Z72" s="556"/>
      <c r="AA72" s="362" t="s">
        <v>90</v>
      </c>
      <c r="AE72" s="108" t="s">
        <v>86</v>
      </c>
      <c r="AF72" s="449">
        <f>AO13</f>
        <v>22.578420600240001</v>
      </c>
      <c r="AG72" s="349" t="s">
        <v>87</v>
      </c>
      <c r="AH72" s="361">
        <f>AH63</f>
        <v>118998</v>
      </c>
      <c r="AI72" s="349" t="s">
        <v>88</v>
      </c>
      <c r="AJ72" s="556"/>
      <c r="AK72" s="362" t="s">
        <v>90</v>
      </c>
    </row>
    <row r="73" spans="1:39" ht="14.25" customHeight="1">
      <c r="A73" s="85"/>
      <c r="B73" s="363"/>
      <c r="C73" s="364" t="s">
        <v>88</v>
      </c>
      <c r="D73" s="557"/>
      <c r="E73" s="226" t="s">
        <v>59</v>
      </c>
      <c r="F73" s="235">
        <v>2000</v>
      </c>
      <c r="G73" s="365" t="s">
        <v>87</v>
      </c>
      <c r="K73" s="85"/>
      <c r="L73" s="363"/>
      <c r="M73" s="364" t="s">
        <v>88</v>
      </c>
      <c r="N73" s="557"/>
      <c r="O73" s="226" t="s">
        <v>59</v>
      </c>
      <c r="P73" s="235">
        <v>2000</v>
      </c>
      <c r="Q73" s="365" t="s">
        <v>87</v>
      </c>
      <c r="R73" s="85"/>
      <c r="S73" s="85"/>
      <c r="T73" s="85"/>
      <c r="U73" s="85"/>
      <c r="V73" s="363"/>
      <c r="W73" s="364" t="s">
        <v>88</v>
      </c>
      <c r="X73" s="557"/>
      <c r="Y73" s="226" t="s">
        <v>59</v>
      </c>
      <c r="Z73" s="235">
        <v>2000</v>
      </c>
      <c r="AA73" s="365" t="s">
        <v>87</v>
      </c>
      <c r="AE73" s="85"/>
      <c r="AF73" s="363"/>
      <c r="AG73" s="364" t="s">
        <v>88</v>
      </c>
      <c r="AH73" s="557"/>
      <c r="AI73" s="226" t="s">
        <v>59</v>
      </c>
      <c r="AJ73" s="235">
        <v>2000</v>
      </c>
      <c r="AK73" s="365" t="s">
        <v>87</v>
      </c>
    </row>
    <row r="74" spans="1:39" ht="14.25" customHeight="1">
      <c r="R74" s="85"/>
      <c r="S74" s="85"/>
      <c r="T74" s="85"/>
    </row>
    <row r="76" spans="1:39" ht="14.25" customHeight="1">
      <c r="A76" s="108" t="s">
        <v>86</v>
      </c>
      <c r="B76" s="369">
        <f>B72*D72/F73</f>
        <v>19.270681982304843</v>
      </c>
      <c r="C76" s="115" t="s">
        <v>90</v>
      </c>
      <c r="D76" s="108" t="s">
        <v>86</v>
      </c>
      <c r="E76" s="369">
        <f>B76*(2000/8760)</f>
        <v>4.3996990827180005</v>
      </c>
      <c r="F76" s="115" t="s">
        <v>87</v>
      </c>
      <c r="G76" s="85"/>
      <c r="K76" s="108" t="s">
        <v>86</v>
      </c>
      <c r="L76" s="369">
        <f>L72*N72/P73</f>
        <v>3182.1235749257248</v>
      </c>
      <c r="M76" s="115" t="s">
        <v>90</v>
      </c>
      <c r="N76" s="108" t="s">
        <v>86</v>
      </c>
      <c r="O76" s="369">
        <f>L76*(2000/8760)</f>
        <v>726.51223171820197</v>
      </c>
      <c r="P76" s="115" t="s">
        <v>87</v>
      </c>
      <c r="Q76" s="85"/>
      <c r="U76" s="108" t="s">
        <v>86</v>
      </c>
      <c r="V76" s="369">
        <f>V72*X72/Z73</f>
        <v>7962.0316620480335</v>
      </c>
      <c r="W76" s="115" t="s">
        <v>90</v>
      </c>
      <c r="X76" s="108" t="s">
        <v>86</v>
      </c>
      <c r="Y76" s="369">
        <f>V76*(2000/8760)</f>
        <v>1817.815447956172</v>
      </c>
      <c r="Z76" s="115" t="s">
        <v>87</v>
      </c>
      <c r="AA76" s="85"/>
      <c r="AE76" s="108" t="s">
        <v>86</v>
      </c>
      <c r="AF76" s="369">
        <f>AF72*AH72/AJ73</f>
        <v>1343.3934472936799</v>
      </c>
      <c r="AG76" s="115" t="s">
        <v>90</v>
      </c>
      <c r="AH76" s="108" t="s">
        <v>86</v>
      </c>
      <c r="AI76" s="369">
        <f>AF76*(2000/8760)</f>
        <v>306.710832715452</v>
      </c>
      <c r="AJ76" s="115" t="s">
        <v>87</v>
      </c>
      <c r="AK76" s="85"/>
    </row>
    <row r="77" spans="1:39" ht="14.25" customHeight="1">
      <c r="A77" s="85"/>
      <c r="B77" s="85"/>
      <c r="C77" s="118" t="s">
        <v>59</v>
      </c>
      <c r="D77" s="85"/>
      <c r="E77" s="85"/>
      <c r="F77" s="118" t="s">
        <v>92</v>
      </c>
      <c r="G77" s="85"/>
      <c r="K77" s="85"/>
      <c r="L77" s="85"/>
      <c r="M77" s="118" t="s">
        <v>59</v>
      </c>
      <c r="N77" s="85"/>
      <c r="O77" s="85"/>
      <c r="P77" s="118" t="s">
        <v>92</v>
      </c>
      <c r="Q77" s="85"/>
      <c r="U77" s="85"/>
      <c r="V77" s="85"/>
      <c r="W77" s="118" t="s">
        <v>59</v>
      </c>
      <c r="X77" s="85"/>
      <c r="Y77" s="85"/>
      <c r="Z77" s="118" t="s">
        <v>92</v>
      </c>
      <c r="AA77" s="85"/>
      <c r="AE77" s="85"/>
      <c r="AF77" s="85"/>
      <c r="AG77" s="118" t="s">
        <v>59</v>
      </c>
      <c r="AH77" s="85"/>
      <c r="AI77" s="85"/>
      <c r="AJ77" s="118" t="s">
        <v>92</v>
      </c>
      <c r="AK77" s="85"/>
    </row>
  </sheetData>
  <mergeCells count="12">
    <mergeCell ref="A51:I51"/>
    <mergeCell ref="K51:S51"/>
    <mergeCell ref="U51:AC51"/>
    <mergeCell ref="AE51:AM51"/>
    <mergeCell ref="A1:I1"/>
    <mergeCell ref="K1:S1"/>
    <mergeCell ref="U1:AC1"/>
    <mergeCell ref="AE1:AM1"/>
    <mergeCell ref="A3:B3"/>
    <mergeCell ref="K3:L3"/>
    <mergeCell ref="U3:V3"/>
    <mergeCell ref="AE3:AF3"/>
  </mergeCells>
  <pageMargins left="0.7" right="0.7" top="0.75" bottom="0.75" header="0.511811023622047" footer="0.511811023622047"/>
  <pageSetup paperSize="9" orientation="portrait" horizontalDpi="300" verticalDpi="30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tabColor rgb="FF6A8497"/>
  </sheetPr>
  <dimension ref="A1:J2425"/>
  <sheetViews>
    <sheetView showGridLines="0" zoomScaleNormal="100" workbookViewId="0">
      <pane xSplit="3" ySplit="14" topLeftCell="D15" activePane="bottomRight" state="frozen"/>
      <selection pane="bottomRight"/>
      <selection pane="bottomLeft" activeCell="A15" sqref="A15"/>
      <selection pane="topRight" activeCell="D1" sqref="D1"/>
    </sheetView>
  </sheetViews>
  <sheetFormatPr defaultColWidth="8.7109375" defaultRowHeight="15"/>
  <cols>
    <col min="1" max="1" width="24" customWidth="1"/>
    <col min="2" max="2" width="9" customWidth="1"/>
    <col min="3" max="3" width="12" customWidth="1"/>
    <col min="4" max="9" width="14" customWidth="1"/>
    <col min="10" max="10" width="34" customWidth="1"/>
    <col min="16383" max="16384" width="11.5703125" customWidth="1"/>
  </cols>
  <sheetData>
    <row r="1" spans="1:10" ht="21" customHeight="1">
      <c r="A1" s="498"/>
      <c r="B1" s="498"/>
      <c r="C1" s="498"/>
      <c r="D1" s="498"/>
      <c r="E1" s="498"/>
      <c r="F1" s="498"/>
      <c r="G1" s="498"/>
      <c r="H1" s="498"/>
      <c r="I1" s="498"/>
      <c r="J1" s="498"/>
    </row>
    <row r="2" spans="1:10" ht="21" customHeight="1">
      <c r="A2" s="499" t="s">
        <v>370</v>
      </c>
      <c r="B2" s="498"/>
      <c r="C2" s="498"/>
      <c r="D2" s="498"/>
      <c r="E2" s="498"/>
      <c r="F2" s="498"/>
      <c r="G2" s="498"/>
      <c r="H2" s="498"/>
      <c r="I2" s="498"/>
      <c r="J2" s="498"/>
    </row>
    <row r="3" spans="1:10" ht="21" customHeight="1">
      <c r="A3" s="500" t="s">
        <v>371</v>
      </c>
      <c r="B3" s="498"/>
      <c r="C3" s="498"/>
      <c r="D3" s="498"/>
      <c r="E3" s="498"/>
      <c r="F3" s="498"/>
      <c r="G3" s="498"/>
      <c r="H3" s="498"/>
      <c r="I3" s="498"/>
      <c r="J3" s="498"/>
    </row>
    <row r="4" spans="1:10" ht="21" customHeight="1">
      <c r="A4" s="501" t="s">
        <v>372</v>
      </c>
      <c r="B4" s="502" t="s">
        <v>373</v>
      </c>
      <c r="C4" s="498"/>
      <c r="D4" s="498"/>
      <c r="E4" s="498"/>
      <c r="F4" s="498"/>
      <c r="G4" s="498"/>
      <c r="H4" s="498"/>
      <c r="I4" s="498"/>
      <c r="J4" s="498"/>
    </row>
    <row r="5" spans="1:10" ht="21" customHeight="1">
      <c r="A5" s="501" t="s">
        <v>374</v>
      </c>
      <c r="B5" s="502" t="s">
        <v>375</v>
      </c>
      <c r="C5" s="498"/>
      <c r="D5" s="498"/>
      <c r="E5" s="498"/>
      <c r="F5" s="498"/>
      <c r="G5" s="498"/>
      <c r="H5" s="498"/>
      <c r="I5" s="498"/>
      <c r="J5" s="498"/>
    </row>
    <row r="6" spans="1:10" ht="21" customHeight="1">
      <c r="A6" s="501" t="s">
        <v>376</v>
      </c>
      <c r="B6" s="502" t="s">
        <v>377</v>
      </c>
      <c r="C6" s="498"/>
      <c r="D6" s="498"/>
      <c r="E6" s="498"/>
      <c r="F6" s="498"/>
      <c r="G6" s="498"/>
      <c r="H6" s="498"/>
      <c r="I6" s="498"/>
      <c r="J6" s="498"/>
    </row>
    <row r="7" spans="1:10" ht="21" customHeight="1">
      <c r="A7" s="501" t="s">
        <v>378</v>
      </c>
      <c r="B7" s="502" t="s">
        <v>379</v>
      </c>
      <c r="C7" s="498"/>
      <c r="D7" s="498"/>
      <c r="E7" s="498"/>
      <c r="F7" s="498"/>
      <c r="G7" s="498"/>
      <c r="H7" s="498"/>
      <c r="I7" s="498"/>
      <c r="J7" s="498"/>
    </row>
    <row r="8" spans="1:10" ht="21" customHeight="1">
      <c r="A8" s="501" t="s">
        <v>380</v>
      </c>
      <c r="B8" s="502" t="s">
        <v>381</v>
      </c>
      <c r="C8" s="498"/>
      <c r="D8" s="498"/>
      <c r="E8" s="498"/>
      <c r="F8" s="498"/>
      <c r="G8" s="498"/>
      <c r="H8" s="498"/>
      <c r="I8" s="498"/>
      <c r="J8" s="498"/>
    </row>
    <row r="9" spans="1:10" ht="21" customHeight="1">
      <c r="A9" s="501" t="s">
        <v>382</v>
      </c>
      <c r="B9" s="502" t="s">
        <v>383</v>
      </c>
      <c r="C9" s="498"/>
      <c r="D9" s="498"/>
      <c r="E9" s="498"/>
      <c r="F9" s="498"/>
      <c r="G9" s="498"/>
      <c r="H9" s="498"/>
      <c r="I9" s="498"/>
      <c r="J9" s="498"/>
    </row>
    <row r="10" spans="1:10" ht="21" customHeight="1">
      <c r="A10" s="498"/>
      <c r="B10" s="498"/>
      <c r="C10" s="498"/>
      <c r="D10" s="498"/>
      <c r="E10" s="498"/>
      <c r="F10" s="498"/>
      <c r="G10" s="498"/>
      <c r="H10" s="498"/>
      <c r="I10" s="498"/>
      <c r="J10" s="498"/>
    </row>
    <row r="11" spans="1:10" ht="21" customHeight="1">
      <c r="A11" s="500" t="s">
        <v>384</v>
      </c>
      <c r="B11" s="498"/>
      <c r="C11" s="498"/>
      <c r="D11" s="498"/>
      <c r="E11" s="498"/>
      <c r="F11" s="498"/>
      <c r="G11" s="498"/>
      <c r="H11" s="498"/>
      <c r="I11" s="498"/>
      <c r="J11" s="498"/>
    </row>
    <row r="12" spans="1:10" ht="21" customHeight="1">
      <c r="A12" s="500" t="s">
        <v>385</v>
      </c>
      <c r="B12" s="498"/>
      <c r="C12" s="498"/>
      <c r="D12" s="498"/>
      <c r="E12" s="498"/>
      <c r="F12" s="498"/>
      <c r="G12" s="498"/>
      <c r="H12" s="498"/>
      <c r="I12" s="498"/>
      <c r="J12" s="498"/>
    </row>
    <row r="13" spans="1:10" ht="21" customHeight="1">
      <c r="A13" s="498"/>
      <c r="B13" s="498"/>
      <c r="C13" s="498"/>
      <c r="D13" s="498"/>
      <c r="E13" s="498"/>
      <c r="F13" s="498"/>
      <c r="G13" s="498"/>
      <c r="H13" s="498"/>
      <c r="I13" s="498"/>
      <c r="J13" s="498"/>
    </row>
    <row r="14" spans="1:10" ht="30" customHeight="1">
      <c r="A14" s="503" t="s">
        <v>386</v>
      </c>
      <c r="B14" s="503" t="s">
        <v>387</v>
      </c>
      <c r="C14" s="503" t="s">
        <v>388</v>
      </c>
      <c r="D14" s="503" t="s">
        <v>389</v>
      </c>
      <c r="E14" s="503" t="s">
        <v>390</v>
      </c>
      <c r="F14" s="503" t="s">
        <v>391</v>
      </c>
      <c r="G14" s="503" t="s">
        <v>392</v>
      </c>
      <c r="H14" s="503" t="s">
        <v>393</v>
      </c>
      <c r="I14" s="503" t="s">
        <v>394</v>
      </c>
      <c r="J14" s="503" t="s">
        <v>395</v>
      </c>
    </row>
    <row r="15" spans="1:10" ht="31.5" customHeight="1">
      <c r="A15" s="504" t="s">
        <v>33</v>
      </c>
      <c r="B15" s="505"/>
      <c r="C15" s="505"/>
      <c r="D15" s="505"/>
      <c r="E15" s="505"/>
      <c r="F15" s="505"/>
      <c r="G15" s="505"/>
      <c r="H15" s="505"/>
      <c r="I15" s="505"/>
      <c r="J15" s="506"/>
    </row>
    <row r="16" spans="1:10" ht="21" customHeight="1">
      <c r="A16" s="507" t="s">
        <v>33</v>
      </c>
      <c r="B16" s="508" t="s">
        <v>396</v>
      </c>
      <c r="C16" s="508" t="s">
        <v>397</v>
      </c>
      <c r="D16" s="509">
        <v>0</v>
      </c>
      <c r="E16" s="509"/>
      <c r="F16" s="509"/>
      <c r="G16" s="509">
        <v>0</v>
      </c>
      <c r="H16" s="509">
        <v>0</v>
      </c>
      <c r="I16" s="509">
        <f>'Costa Sur'!B5</f>
        <v>0</v>
      </c>
      <c r="J16" s="508" t="s">
        <v>398</v>
      </c>
    </row>
    <row r="17" spans="1:10" ht="21" customHeight="1">
      <c r="A17" s="507" t="s">
        <v>33</v>
      </c>
      <c r="B17" s="508" t="s">
        <v>399</v>
      </c>
      <c r="C17" s="508" t="s">
        <v>397</v>
      </c>
      <c r="D17" s="509">
        <v>0</v>
      </c>
      <c r="E17" s="509"/>
      <c r="F17" s="509"/>
      <c r="G17" s="509">
        <v>0</v>
      </c>
      <c r="H17" s="509">
        <v>0</v>
      </c>
      <c r="I17" s="509">
        <f>'Costa Sur'!C5</f>
        <v>0</v>
      </c>
      <c r="J17" s="508" t="s">
        <v>398</v>
      </c>
    </row>
    <row r="18" spans="1:10" ht="21" customHeight="1">
      <c r="A18" s="507" t="s">
        <v>33</v>
      </c>
      <c r="B18" s="508" t="s">
        <v>400</v>
      </c>
      <c r="C18" s="508" t="s">
        <v>397</v>
      </c>
      <c r="D18" s="509">
        <v>0</v>
      </c>
      <c r="E18" s="509"/>
      <c r="F18" s="509"/>
      <c r="G18" s="509"/>
      <c r="H18" s="509"/>
      <c r="I18" s="509"/>
      <c r="J18" s="508" t="s">
        <v>401</v>
      </c>
    </row>
    <row r="19" spans="1:10" ht="21" customHeight="1">
      <c r="A19" s="507" t="s">
        <v>33</v>
      </c>
      <c r="B19" s="508" t="s">
        <v>402</v>
      </c>
      <c r="C19" s="508" t="s">
        <v>397</v>
      </c>
      <c r="D19" s="509">
        <v>897043.98</v>
      </c>
      <c r="E19" s="509"/>
      <c r="F19" s="509"/>
      <c r="G19" s="509"/>
      <c r="H19" s="509"/>
      <c r="I19" s="509"/>
      <c r="J19" s="508" t="s">
        <v>401</v>
      </c>
    </row>
    <row r="20" spans="1:10" ht="21" customHeight="1">
      <c r="A20" s="507" t="s">
        <v>33</v>
      </c>
      <c r="B20" s="508" t="s">
        <v>403</v>
      </c>
      <c r="C20" s="508" t="s">
        <v>397</v>
      </c>
      <c r="D20" s="509"/>
      <c r="E20" s="509"/>
      <c r="F20" s="509"/>
      <c r="G20" s="509">
        <v>0</v>
      </c>
      <c r="H20" s="509"/>
      <c r="I20" s="509">
        <f>'Costa Sur'!F5</f>
        <v>0</v>
      </c>
      <c r="J20" s="508" t="s">
        <v>398</v>
      </c>
    </row>
    <row r="21" spans="1:10" ht="21" customHeight="1">
      <c r="A21" s="507" t="s">
        <v>33</v>
      </c>
      <c r="B21" s="508" t="s">
        <v>404</v>
      </c>
      <c r="C21" s="508" t="s">
        <v>397</v>
      </c>
      <c r="D21" s="509"/>
      <c r="E21" s="509"/>
      <c r="F21" s="509"/>
      <c r="G21" s="509">
        <v>0</v>
      </c>
      <c r="H21" s="509"/>
      <c r="I21" s="509">
        <f>'Costa Sur'!G5</f>
        <v>0</v>
      </c>
      <c r="J21" s="508" t="s">
        <v>398</v>
      </c>
    </row>
    <row r="22" spans="1:10" ht="21" customHeight="1">
      <c r="A22" s="507" t="s">
        <v>33</v>
      </c>
      <c r="B22" s="508" t="s">
        <v>405</v>
      </c>
      <c r="C22" s="508" t="s">
        <v>397</v>
      </c>
      <c r="D22" s="509">
        <v>0.47</v>
      </c>
      <c r="E22" s="509"/>
      <c r="F22" s="509"/>
      <c r="G22" s="509"/>
      <c r="H22" s="509"/>
      <c r="I22" s="509"/>
      <c r="J22" s="508" t="s">
        <v>401</v>
      </c>
    </row>
    <row r="23" spans="1:10" ht="21" customHeight="1">
      <c r="A23" s="507" t="s">
        <v>33</v>
      </c>
      <c r="B23" s="508" t="s">
        <v>406</v>
      </c>
      <c r="C23" s="508" t="s">
        <v>397</v>
      </c>
      <c r="D23" s="509">
        <v>0.47</v>
      </c>
      <c r="E23" s="509"/>
      <c r="F23" s="509"/>
      <c r="G23" s="509"/>
      <c r="H23" s="509"/>
      <c r="I23" s="509"/>
      <c r="J23" s="508" t="s">
        <v>401</v>
      </c>
    </row>
    <row r="24" spans="1:10" ht="21" customHeight="1">
      <c r="A24" s="507" t="s">
        <v>33</v>
      </c>
      <c r="B24" s="508" t="s">
        <v>407</v>
      </c>
      <c r="C24" s="508" t="s">
        <v>397</v>
      </c>
      <c r="D24" s="509">
        <v>0</v>
      </c>
      <c r="E24" s="509">
        <v>0</v>
      </c>
      <c r="F24" s="509"/>
      <c r="G24" s="509">
        <v>0</v>
      </c>
      <c r="H24" s="509">
        <v>0</v>
      </c>
      <c r="I24" s="509">
        <f>'Costa Sur'!B6</f>
        <v>0</v>
      </c>
      <c r="J24" s="508" t="s">
        <v>408</v>
      </c>
    </row>
    <row r="25" spans="1:10" ht="21" customHeight="1">
      <c r="A25" s="507" t="s">
        <v>33</v>
      </c>
      <c r="B25" s="508" t="s">
        <v>409</v>
      </c>
      <c r="C25" s="508" t="s">
        <v>397</v>
      </c>
      <c r="D25" s="509">
        <v>0</v>
      </c>
      <c r="E25" s="509">
        <v>0</v>
      </c>
      <c r="F25" s="509"/>
      <c r="G25" s="509">
        <v>0</v>
      </c>
      <c r="H25" s="509">
        <v>0</v>
      </c>
      <c r="I25" s="509">
        <f>'Costa Sur'!C6</f>
        <v>0</v>
      </c>
      <c r="J25" s="508" t="s">
        <v>408</v>
      </c>
    </row>
    <row r="26" spans="1:10" ht="21" customHeight="1">
      <c r="A26" s="507" t="s">
        <v>33</v>
      </c>
      <c r="B26" s="508" t="s">
        <v>410</v>
      </c>
      <c r="C26" s="508" t="s">
        <v>411</v>
      </c>
      <c r="D26" s="509"/>
      <c r="E26" s="509">
        <f>SUM($E$32*42)</f>
        <v>1967839.86</v>
      </c>
      <c r="F26" s="509"/>
      <c r="G26" s="509"/>
      <c r="H26" s="509"/>
      <c r="I26" s="509"/>
      <c r="J26" s="508" t="s">
        <v>412</v>
      </c>
    </row>
    <row r="27" spans="1:10" ht="21" customHeight="1">
      <c r="A27" s="507" t="s">
        <v>33</v>
      </c>
      <c r="B27" s="508" t="s">
        <v>413</v>
      </c>
      <c r="C27" s="508" t="s">
        <v>411</v>
      </c>
      <c r="D27" s="509"/>
      <c r="E27" s="509">
        <f>SUM($E$33*42)</f>
        <v>7883312.2199999997</v>
      </c>
      <c r="F27" s="509"/>
      <c r="G27" s="509"/>
      <c r="H27" s="509"/>
      <c r="I27" s="509"/>
      <c r="J27" s="508" t="s">
        <v>412</v>
      </c>
    </row>
    <row r="28" spans="1:10" ht="21" customHeight="1">
      <c r="A28" s="507" t="s">
        <v>33</v>
      </c>
      <c r="B28" s="508" t="s">
        <v>414</v>
      </c>
      <c r="C28" s="508" t="s">
        <v>397</v>
      </c>
      <c r="D28" s="509"/>
      <c r="E28" s="509">
        <v>0</v>
      </c>
      <c r="F28" s="509"/>
      <c r="G28" s="509">
        <v>0</v>
      </c>
      <c r="H28" s="509"/>
      <c r="I28" s="509">
        <f>'Costa Sur'!F6</f>
        <v>0</v>
      </c>
      <c r="J28" s="508" t="s">
        <v>408</v>
      </c>
    </row>
    <row r="29" spans="1:10" ht="21" customHeight="1">
      <c r="A29" s="507" t="s">
        <v>33</v>
      </c>
      <c r="B29" s="508" t="s">
        <v>415</v>
      </c>
      <c r="C29" s="508" t="s">
        <v>397</v>
      </c>
      <c r="D29" s="509"/>
      <c r="E29" s="509">
        <v>0</v>
      </c>
      <c r="F29" s="509"/>
      <c r="G29" s="509">
        <v>0</v>
      </c>
      <c r="H29" s="509"/>
      <c r="I29" s="509">
        <f>'Costa Sur'!G6</f>
        <v>0</v>
      </c>
      <c r="J29" s="508" t="s">
        <v>408</v>
      </c>
    </row>
    <row r="30" spans="1:10" ht="21" customHeight="1">
      <c r="A30" s="507" t="s">
        <v>33</v>
      </c>
      <c r="B30" s="508" t="s">
        <v>416</v>
      </c>
      <c r="C30" s="508" t="s">
        <v>397</v>
      </c>
      <c r="D30" s="509"/>
      <c r="E30" s="509">
        <v>0.47</v>
      </c>
      <c r="F30" s="509"/>
      <c r="G30" s="509"/>
      <c r="H30" s="509"/>
      <c r="I30" s="509"/>
      <c r="J30" s="508" t="s">
        <v>412</v>
      </c>
    </row>
    <row r="31" spans="1:10" ht="21" customHeight="1">
      <c r="A31" s="507" t="s">
        <v>33</v>
      </c>
      <c r="B31" s="508" t="s">
        <v>417</v>
      </c>
      <c r="C31" s="508" t="s">
        <v>397</v>
      </c>
      <c r="D31" s="509"/>
      <c r="E31" s="509">
        <v>0.47</v>
      </c>
      <c r="F31" s="509"/>
      <c r="G31" s="509"/>
      <c r="H31" s="509"/>
      <c r="I31" s="509"/>
      <c r="J31" s="508" t="s">
        <v>412</v>
      </c>
    </row>
    <row r="32" spans="1:10" ht="21" customHeight="1">
      <c r="A32" s="507" t="s">
        <v>33</v>
      </c>
      <c r="B32" s="508" t="s">
        <v>418</v>
      </c>
      <c r="C32" s="508" t="s">
        <v>397</v>
      </c>
      <c r="D32" s="509"/>
      <c r="E32" s="509">
        <v>46853.33</v>
      </c>
      <c r="F32" s="509"/>
      <c r="G32" s="509"/>
      <c r="H32" s="509"/>
      <c r="I32" s="509"/>
      <c r="J32" s="508" t="s">
        <v>412</v>
      </c>
    </row>
    <row r="33" spans="1:10" ht="21" customHeight="1">
      <c r="A33" s="507" t="s">
        <v>33</v>
      </c>
      <c r="B33" s="508" t="s">
        <v>419</v>
      </c>
      <c r="C33" s="508" t="s">
        <v>397</v>
      </c>
      <c r="D33" s="509"/>
      <c r="E33" s="509">
        <v>187697.91</v>
      </c>
      <c r="F33" s="509"/>
      <c r="G33" s="509"/>
      <c r="H33" s="509"/>
      <c r="I33" s="509"/>
      <c r="J33" s="508" t="s">
        <v>412</v>
      </c>
    </row>
    <row r="34" spans="1:10" ht="21" customHeight="1">
      <c r="A34" s="507" t="s">
        <v>33</v>
      </c>
      <c r="B34" s="508" t="s">
        <v>420</v>
      </c>
      <c r="C34" s="508" t="s">
        <v>397</v>
      </c>
      <c r="D34" s="509">
        <v>0</v>
      </c>
      <c r="E34" s="509"/>
      <c r="F34" s="509">
        <v>0</v>
      </c>
      <c r="G34" s="509">
        <v>0</v>
      </c>
      <c r="H34" s="509">
        <v>0</v>
      </c>
      <c r="I34" s="509">
        <f>'Costa Sur'!B7</f>
        <v>0</v>
      </c>
      <c r="J34" s="508" t="s">
        <v>421</v>
      </c>
    </row>
    <row r="35" spans="1:10" ht="21" customHeight="1">
      <c r="A35" s="507" t="s">
        <v>33</v>
      </c>
      <c r="B35" s="508" t="s">
        <v>422</v>
      </c>
      <c r="C35" s="508" t="s">
        <v>397</v>
      </c>
      <c r="D35" s="509">
        <v>0</v>
      </c>
      <c r="E35" s="509"/>
      <c r="F35" s="509">
        <v>0</v>
      </c>
      <c r="G35" s="509">
        <v>0</v>
      </c>
      <c r="H35" s="509">
        <v>0</v>
      </c>
      <c r="I35" s="509">
        <f>'Costa Sur'!C7</f>
        <v>0</v>
      </c>
      <c r="J35" s="508" t="s">
        <v>421</v>
      </c>
    </row>
    <row r="36" spans="1:10" ht="21" customHeight="1">
      <c r="A36" s="507" t="s">
        <v>33</v>
      </c>
      <c r="B36" s="508" t="s">
        <v>423</v>
      </c>
      <c r="C36" s="508" t="s">
        <v>411</v>
      </c>
      <c r="D36" s="509"/>
      <c r="E36" s="509"/>
      <c r="F36" s="509">
        <f>SUM($F$42*42)</f>
        <v>2316600.3000000003</v>
      </c>
      <c r="G36" s="509"/>
      <c r="H36" s="509"/>
      <c r="I36" s="509"/>
      <c r="J36" s="508" t="s">
        <v>421</v>
      </c>
    </row>
    <row r="37" spans="1:10" ht="21" customHeight="1">
      <c r="A37" s="507" t="s">
        <v>33</v>
      </c>
      <c r="B37" s="508" t="s">
        <v>424</v>
      </c>
      <c r="C37" s="508" t="s">
        <v>411</v>
      </c>
      <c r="D37" s="509"/>
      <c r="E37" s="509"/>
      <c r="F37" s="509">
        <f>SUM($F$43*42)</f>
        <v>2939540.1</v>
      </c>
      <c r="G37" s="509"/>
      <c r="H37" s="509"/>
      <c r="I37" s="509"/>
      <c r="J37" s="508" t="s">
        <v>421</v>
      </c>
    </row>
    <row r="38" spans="1:10" ht="21" customHeight="1">
      <c r="A38" s="507" t="s">
        <v>33</v>
      </c>
      <c r="B38" s="508" t="s">
        <v>425</v>
      </c>
      <c r="C38" s="508" t="s">
        <v>397</v>
      </c>
      <c r="D38" s="509"/>
      <c r="E38" s="509"/>
      <c r="F38" s="509">
        <v>0</v>
      </c>
      <c r="G38" s="509">
        <v>0</v>
      </c>
      <c r="H38" s="509"/>
      <c r="I38" s="509">
        <f>'Costa Sur'!F7</f>
        <v>0</v>
      </c>
      <c r="J38" s="508" t="s">
        <v>421</v>
      </c>
    </row>
    <row r="39" spans="1:10" ht="21" customHeight="1">
      <c r="A39" s="507" t="s">
        <v>33</v>
      </c>
      <c r="B39" s="508" t="s">
        <v>426</v>
      </c>
      <c r="C39" s="508" t="s">
        <v>397</v>
      </c>
      <c r="D39" s="509"/>
      <c r="E39" s="509"/>
      <c r="F39" s="509">
        <v>0</v>
      </c>
      <c r="G39" s="509">
        <v>0</v>
      </c>
      <c r="H39" s="509"/>
      <c r="I39" s="509">
        <f>'Costa Sur'!G7</f>
        <v>0</v>
      </c>
      <c r="J39" s="508" t="s">
        <v>421</v>
      </c>
    </row>
    <row r="40" spans="1:10" ht="21" customHeight="1">
      <c r="A40" s="507" t="s">
        <v>33</v>
      </c>
      <c r="B40" s="508" t="s">
        <v>427</v>
      </c>
      <c r="C40" s="508" t="s">
        <v>397</v>
      </c>
      <c r="D40" s="509"/>
      <c r="E40" s="509"/>
      <c r="F40" s="509">
        <v>0.48</v>
      </c>
      <c r="G40" s="509"/>
      <c r="H40" s="509"/>
      <c r="I40" s="509"/>
      <c r="J40" s="508" t="s">
        <v>421</v>
      </c>
    </row>
    <row r="41" spans="1:10" ht="21" customHeight="1">
      <c r="A41" s="507" t="s">
        <v>33</v>
      </c>
      <c r="B41" s="508" t="s">
        <v>428</v>
      </c>
      <c r="C41" s="508" t="s">
        <v>397</v>
      </c>
      <c r="D41" s="509"/>
      <c r="E41" s="509"/>
      <c r="F41" s="509">
        <v>0.48</v>
      </c>
      <c r="G41" s="509"/>
      <c r="H41" s="509"/>
      <c r="I41" s="509"/>
      <c r="J41" s="508" t="s">
        <v>421</v>
      </c>
    </row>
    <row r="42" spans="1:10" ht="21" customHeight="1">
      <c r="A42" s="507" t="s">
        <v>33</v>
      </c>
      <c r="B42" s="508" t="s">
        <v>429</v>
      </c>
      <c r="C42" s="508" t="s">
        <v>397</v>
      </c>
      <c r="D42" s="509"/>
      <c r="E42" s="509"/>
      <c r="F42" s="509">
        <v>55157.15</v>
      </c>
      <c r="G42" s="509"/>
      <c r="H42" s="509"/>
      <c r="I42" s="509"/>
      <c r="J42" s="508" t="s">
        <v>421</v>
      </c>
    </row>
    <row r="43" spans="1:10" ht="21" customHeight="1">
      <c r="A43" s="507" t="s">
        <v>33</v>
      </c>
      <c r="B43" s="508" t="s">
        <v>430</v>
      </c>
      <c r="C43" s="508" t="s">
        <v>397</v>
      </c>
      <c r="D43" s="509"/>
      <c r="E43" s="509"/>
      <c r="F43" s="509">
        <v>69989.05</v>
      </c>
      <c r="G43" s="509"/>
      <c r="H43" s="509"/>
      <c r="I43" s="509"/>
      <c r="J43" s="508" t="s">
        <v>421</v>
      </c>
    </row>
    <row r="44" spans="1:10" ht="21" customHeight="1">
      <c r="A44" s="507" t="s">
        <v>33</v>
      </c>
      <c r="B44" s="508" t="s">
        <v>431</v>
      </c>
      <c r="C44" s="508" t="s">
        <v>397</v>
      </c>
      <c r="D44" s="509">
        <v>0</v>
      </c>
      <c r="E44" s="509"/>
      <c r="F44" s="509"/>
      <c r="G44" s="509">
        <v>0</v>
      </c>
      <c r="H44" s="509">
        <v>0</v>
      </c>
      <c r="I44" s="509">
        <f>'Costa Sur'!B8</f>
        <v>0</v>
      </c>
      <c r="J44" s="508" t="s">
        <v>432</v>
      </c>
    </row>
    <row r="45" spans="1:10" ht="21" customHeight="1">
      <c r="A45" s="507" t="s">
        <v>33</v>
      </c>
      <c r="B45" s="508" t="s">
        <v>433</v>
      </c>
      <c r="C45" s="508" t="s">
        <v>397</v>
      </c>
      <c r="D45" s="509">
        <v>0</v>
      </c>
      <c r="E45" s="509"/>
      <c r="F45" s="509"/>
      <c r="G45" s="509">
        <v>0</v>
      </c>
      <c r="H45" s="509">
        <v>0</v>
      </c>
      <c r="I45" s="509">
        <f>'Costa Sur'!C8</f>
        <v>0</v>
      </c>
      <c r="J45" s="508" t="s">
        <v>432</v>
      </c>
    </row>
    <row r="46" spans="1:10" ht="21" customHeight="1">
      <c r="A46" s="507" t="s">
        <v>33</v>
      </c>
      <c r="B46" s="508" t="s">
        <v>434</v>
      </c>
      <c r="C46" s="508" t="s">
        <v>397</v>
      </c>
      <c r="D46" s="509"/>
      <c r="E46" s="509"/>
      <c r="F46" s="509"/>
      <c r="G46" s="509">
        <v>71616.72</v>
      </c>
      <c r="H46" s="509"/>
      <c r="I46" s="509"/>
      <c r="J46" s="508" t="s">
        <v>432</v>
      </c>
    </row>
    <row r="47" spans="1:10" ht="21" customHeight="1">
      <c r="A47" s="507" t="s">
        <v>33</v>
      </c>
      <c r="B47" s="508" t="s">
        <v>435</v>
      </c>
      <c r="C47" s="508" t="s">
        <v>397</v>
      </c>
      <c r="D47" s="509"/>
      <c r="E47" s="509"/>
      <c r="F47" s="509"/>
      <c r="G47" s="509">
        <v>195657.84</v>
      </c>
      <c r="H47" s="509"/>
      <c r="I47" s="509"/>
      <c r="J47" s="508" t="s">
        <v>432</v>
      </c>
    </row>
    <row r="48" spans="1:10" ht="21" customHeight="1">
      <c r="A48" s="507" t="s">
        <v>33</v>
      </c>
      <c r="B48" s="508" t="s">
        <v>436</v>
      </c>
      <c r="C48" s="508" t="s">
        <v>397</v>
      </c>
      <c r="D48" s="509"/>
      <c r="E48" s="509"/>
      <c r="F48" s="509"/>
      <c r="G48" s="509">
        <v>0</v>
      </c>
      <c r="H48" s="509"/>
      <c r="I48" s="509">
        <f>'Costa Sur'!F8</f>
        <v>0</v>
      </c>
      <c r="J48" s="508" t="s">
        <v>432</v>
      </c>
    </row>
    <row r="49" spans="1:10" ht="21" customHeight="1">
      <c r="A49" s="507" t="s">
        <v>33</v>
      </c>
      <c r="B49" s="508" t="s">
        <v>437</v>
      </c>
      <c r="C49" s="508" t="s">
        <v>397</v>
      </c>
      <c r="D49" s="509"/>
      <c r="E49" s="509"/>
      <c r="F49" s="509"/>
      <c r="G49" s="509">
        <v>0</v>
      </c>
      <c r="H49" s="509"/>
      <c r="I49" s="509">
        <f>'Costa Sur'!G8</f>
        <v>0</v>
      </c>
      <c r="J49" s="508" t="s">
        <v>432</v>
      </c>
    </row>
    <row r="50" spans="1:10" ht="21" customHeight="1">
      <c r="A50" s="507" t="s">
        <v>33</v>
      </c>
      <c r="B50" s="508" t="s">
        <v>438</v>
      </c>
      <c r="C50" s="508" t="s">
        <v>397</v>
      </c>
      <c r="D50" s="509"/>
      <c r="E50" s="509"/>
      <c r="F50" s="509"/>
      <c r="G50" s="509">
        <v>0.48</v>
      </c>
      <c r="H50" s="509"/>
      <c r="I50" s="509"/>
      <c r="J50" s="508" t="s">
        <v>432</v>
      </c>
    </row>
    <row r="51" spans="1:10" ht="21" customHeight="1">
      <c r="A51" s="507" t="s">
        <v>33</v>
      </c>
      <c r="B51" s="508" t="s">
        <v>439</v>
      </c>
      <c r="C51" s="508" t="s">
        <v>397</v>
      </c>
      <c r="D51" s="509"/>
      <c r="E51" s="509"/>
      <c r="F51" s="509"/>
      <c r="G51" s="509">
        <v>0.48</v>
      </c>
      <c r="H51" s="509"/>
      <c r="I51" s="509"/>
      <c r="J51" s="508" t="s">
        <v>432</v>
      </c>
    </row>
    <row r="52" spans="1:10" ht="21" customHeight="1">
      <c r="A52" s="507" t="s">
        <v>33</v>
      </c>
      <c r="B52" s="508" t="s">
        <v>440</v>
      </c>
      <c r="C52" s="508" t="s">
        <v>397</v>
      </c>
      <c r="D52" s="509">
        <v>0</v>
      </c>
      <c r="E52" s="509"/>
      <c r="F52" s="509"/>
      <c r="G52" s="509">
        <v>0</v>
      </c>
      <c r="H52" s="509">
        <v>0</v>
      </c>
      <c r="I52" s="509">
        <f>'Costa Sur'!B9</f>
        <v>0</v>
      </c>
      <c r="J52" s="508" t="s">
        <v>441</v>
      </c>
    </row>
    <row r="53" spans="1:10" ht="21" customHeight="1">
      <c r="A53" s="507" t="s">
        <v>33</v>
      </c>
      <c r="B53" s="508" t="s">
        <v>442</v>
      </c>
      <c r="C53" s="508" t="s">
        <v>397</v>
      </c>
      <c r="D53" s="509">
        <v>0</v>
      </c>
      <c r="E53" s="509"/>
      <c r="F53" s="509"/>
      <c r="G53" s="509">
        <v>0</v>
      </c>
      <c r="H53" s="509">
        <v>0</v>
      </c>
      <c r="I53" s="509">
        <f>'Costa Sur'!C9</f>
        <v>0</v>
      </c>
      <c r="J53" s="508" t="s">
        <v>441</v>
      </c>
    </row>
    <row r="54" spans="1:10" ht="21" customHeight="1">
      <c r="A54" s="507" t="s">
        <v>33</v>
      </c>
      <c r="B54" s="508" t="s">
        <v>443</v>
      </c>
      <c r="C54" s="508" t="s">
        <v>397</v>
      </c>
      <c r="D54" s="509"/>
      <c r="E54" s="509"/>
      <c r="F54" s="509"/>
      <c r="G54" s="509"/>
      <c r="H54" s="509">
        <v>692202.42</v>
      </c>
      <c r="I54" s="509"/>
      <c r="J54" s="508" t="s">
        <v>444</v>
      </c>
    </row>
    <row r="55" spans="1:10" ht="21" customHeight="1">
      <c r="A55" s="507" t="s">
        <v>33</v>
      </c>
      <c r="B55" s="508" t="s">
        <v>445</v>
      </c>
      <c r="C55" s="508" t="s">
        <v>397</v>
      </c>
      <c r="D55" s="509"/>
      <c r="E55" s="509"/>
      <c r="F55" s="509"/>
      <c r="G55" s="509"/>
      <c r="H55" s="509">
        <v>4968238.8</v>
      </c>
      <c r="I55" s="509"/>
      <c r="J55" s="508" t="s">
        <v>444</v>
      </c>
    </row>
    <row r="56" spans="1:10" ht="21" customHeight="1">
      <c r="A56" s="507" t="s">
        <v>33</v>
      </c>
      <c r="B56" s="508" t="s">
        <v>446</v>
      </c>
      <c r="C56" s="508" t="s">
        <v>397</v>
      </c>
      <c r="D56" s="509"/>
      <c r="E56" s="509"/>
      <c r="F56" s="509"/>
      <c r="G56" s="509">
        <v>0</v>
      </c>
      <c r="H56" s="509">
        <v>0</v>
      </c>
      <c r="I56" s="509">
        <f>'Costa Sur'!F9</f>
        <v>0</v>
      </c>
      <c r="J56" s="508" t="s">
        <v>441</v>
      </c>
    </row>
    <row r="57" spans="1:10" ht="21" customHeight="1">
      <c r="A57" s="507" t="s">
        <v>33</v>
      </c>
      <c r="B57" s="508" t="s">
        <v>447</v>
      </c>
      <c r="C57" s="508" t="s">
        <v>397</v>
      </c>
      <c r="D57" s="509"/>
      <c r="E57" s="509"/>
      <c r="F57" s="509"/>
      <c r="G57" s="509">
        <v>0</v>
      </c>
      <c r="H57" s="509">
        <v>0</v>
      </c>
      <c r="I57" s="509">
        <f>'Costa Sur'!G9</f>
        <v>0</v>
      </c>
      <c r="J57" s="508" t="s">
        <v>441</v>
      </c>
    </row>
    <row r="58" spans="1:10" ht="21" customHeight="1">
      <c r="A58" s="507" t="s">
        <v>33</v>
      </c>
      <c r="B58" s="508" t="s">
        <v>448</v>
      </c>
      <c r="C58" s="508" t="s">
        <v>397</v>
      </c>
      <c r="D58" s="509"/>
      <c r="E58" s="509"/>
      <c r="F58" s="509"/>
      <c r="G58" s="509"/>
      <c r="H58" s="509">
        <v>0.49</v>
      </c>
      <c r="I58" s="509"/>
      <c r="J58" s="508" t="s">
        <v>444</v>
      </c>
    </row>
    <row r="59" spans="1:10" ht="21" customHeight="1">
      <c r="A59" s="507" t="s">
        <v>33</v>
      </c>
      <c r="B59" s="508" t="s">
        <v>449</v>
      </c>
      <c r="C59" s="508" t="s">
        <v>397</v>
      </c>
      <c r="D59" s="509"/>
      <c r="E59" s="509"/>
      <c r="F59" s="509"/>
      <c r="G59" s="509"/>
      <c r="H59" s="509">
        <v>0.49</v>
      </c>
      <c r="I59" s="509"/>
      <c r="J59" s="508" t="s">
        <v>444</v>
      </c>
    </row>
    <row r="60" spans="1:10" ht="21" customHeight="1">
      <c r="A60" s="507" t="s">
        <v>33</v>
      </c>
      <c r="B60" s="508" t="s">
        <v>450</v>
      </c>
      <c r="C60" s="508" t="s">
        <v>397</v>
      </c>
      <c r="D60" s="509">
        <v>0</v>
      </c>
      <c r="E60" s="509"/>
      <c r="F60" s="509"/>
      <c r="G60" s="509">
        <v>0</v>
      </c>
      <c r="H60" s="509">
        <v>0</v>
      </c>
      <c r="I60" s="509">
        <f>'Costa Sur'!B10</f>
        <v>0</v>
      </c>
      <c r="J60" s="508" t="s">
        <v>451</v>
      </c>
    </row>
    <row r="61" spans="1:10" ht="21" customHeight="1">
      <c r="A61" s="507" t="s">
        <v>33</v>
      </c>
      <c r="B61" s="508" t="s">
        <v>452</v>
      </c>
      <c r="C61" s="508" t="s">
        <v>397</v>
      </c>
      <c r="D61" s="509">
        <v>0</v>
      </c>
      <c r="E61" s="509"/>
      <c r="F61" s="509"/>
      <c r="G61" s="509">
        <v>0</v>
      </c>
      <c r="H61" s="509">
        <v>0</v>
      </c>
      <c r="I61" s="509">
        <f>'Costa Sur'!C10</f>
        <v>0</v>
      </c>
      <c r="J61" s="508" t="s">
        <v>451</v>
      </c>
    </row>
    <row r="62" spans="1:10" ht="21" customHeight="1">
      <c r="A62" s="507" t="s">
        <v>33</v>
      </c>
      <c r="B62" s="508" t="s">
        <v>453</v>
      </c>
      <c r="C62" s="508" t="s">
        <v>397</v>
      </c>
      <c r="D62" s="509"/>
      <c r="E62" s="509"/>
      <c r="F62" s="509"/>
      <c r="G62" s="509"/>
      <c r="H62" s="509"/>
      <c r="I62" s="509">
        <f>'Costa Sur'!D10</f>
        <v>490512.54</v>
      </c>
      <c r="J62" s="508" t="s">
        <v>451</v>
      </c>
    </row>
    <row r="63" spans="1:10" ht="21" customHeight="1">
      <c r="A63" s="507" t="s">
        <v>33</v>
      </c>
      <c r="B63" s="508" t="s">
        <v>454</v>
      </c>
      <c r="C63" s="508" t="s">
        <v>397</v>
      </c>
      <c r="D63" s="509"/>
      <c r="E63" s="509"/>
      <c r="F63" s="509"/>
      <c r="G63" s="509"/>
      <c r="H63" s="509"/>
      <c r="I63" s="509">
        <f>'Costa Sur'!E10</f>
        <v>1798110.3</v>
      </c>
      <c r="J63" s="508" t="s">
        <v>451</v>
      </c>
    </row>
    <row r="64" spans="1:10" ht="21" customHeight="1">
      <c r="A64" s="507" t="s">
        <v>33</v>
      </c>
      <c r="B64" s="508" t="s">
        <v>455</v>
      </c>
      <c r="C64" s="508" t="s">
        <v>397</v>
      </c>
      <c r="D64" s="509"/>
      <c r="E64" s="509"/>
      <c r="F64" s="509"/>
      <c r="G64" s="509">
        <v>0</v>
      </c>
      <c r="H64" s="509"/>
      <c r="I64" s="509">
        <f>'Costa Sur'!F10</f>
        <v>0</v>
      </c>
      <c r="J64" s="508" t="s">
        <v>451</v>
      </c>
    </row>
    <row r="65" spans="1:10" ht="21" customHeight="1">
      <c r="A65" s="507" t="s">
        <v>33</v>
      </c>
      <c r="B65" s="508" t="s">
        <v>456</v>
      </c>
      <c r="C65" s="508" t="s">
        <v>397</v>
      </c>
      <c r="D65" s="509"/>
      <c r="E65" s="509"/>
      <c r="F65" s="509"/>
      <c r="G65" s="509">
        <v>0</v>
      </c>
      <c r="H65" s="509"/>
      <c r="I65" s="509">
        <f>'Costa Sur'!G10</f>
        <v>0</v>
      </c>
      <c r="J65" s="508" t="s">
        <v>451</v>
      </c>
    </row>
    <row r="66" spans="1:10" ht="21" customHeight="1">
      <c r="A66" s="507" t="s">
        <v>33</v>
      </c>
      <c r="B66" s="508" t="s">
        <v>457</v>
      </c>
      <c r="C66" s="508" t="s">
        <v>397</v>
      </c>
      <c r="D66" s="509"/>
      <c r="E66" s="509"/>
      <c r="F66" s="509"/>
      <c r="G66" s="509"/>
      <c r="H66" s="509"/>
      <c r="I66" s="509">
        <f>'Costa Sur'!H10</f>
        <v>0.47</v>
      </c>
      <c r="J66" s="508" t="s">
        <v>451</v>
      </c>
    </row>
    <row r="67" spans="1:10" ht="21" customHeight="1">
      <c r="A67" s="507" t="s">
        <v>33</v>
      </c>
      <c r="B67" s="508" t="s">
        <v>458</v>
      </c>
      <c r="C67" s="508" t="s">
        <v>397</v>
      </c>
      <c r="D67" s="509"/>
      <c r="E67" s="509"/>
      <c r="F67" s="509"/>
      <c r="G67" s="509"/>
      <c r="H67" s="509"/>
      <c r="I67" s="509">
        <f>'Costa Sur'!I10</f>
        <v>0.47</v>
      </c>
      <c r="J67" s="508" t="s">
        <v>451</v>
      </c>
    </row>
    <row r="68" spans="1:10" ht="21" customHeight="1">
      <c r="A68" s="507" t="s">
        <v>33</v>
      </c>
      <c r="B68" s="508" t="s">
        <v>459</v>
      </c>
      <c r="C68" s="508" t="s">
        <v>397</v>
      </c>
      <c r="D68" s="509">
        <v>0</v>
      </c>
      <c r="E68" s="509"/>
      <c r="F68" s="509"/>
      <c r="G68" s="509">
        <v>0</v>
      </c>
      <c r="H68" s="509">
        <v>0</v>
      </c>
      <c r="I68" s="509">
        <f>'Costa Sur'!B11</f>
        <v>0</v>
      </c>
      <c r="J68" s="508" t="s">
        <v>460</v>
      </c>
    </row>
    <row r="69" spans="1:10" ht="21" customHeight="1">
      <c r="A69" s="507" t="s">
        <v>33</v>
      </c>
      <c r="B69" s="508" t="s">
        <v>461</v>
      </c>
      <c r="C69" s="508" t="s">
        <v>397</v>
      </c>
      <c r="D69" s="509">
        <v>0</v>
      </c>
      <c r="E69" s="509"/>
      <c r="F69" s="509"/>
      <c r="G69" s="509">
        <v>0</v>
      </c>
      <c r="H69" s="509">
        <v>0</v>
      </c>
      <c r="I69" s="509">
        <f>'Costa Sur'!C11</f>
        <v>0</v>
      </c>
      <c r="J69" s="508" t="s">
        <v>460</v>
      </c>
    </row>
    <row r="70" spans="1:10" ht="21" customHeight="1">
      <c r="A70" s="507" t="s">
        <v>33</v>
      </c>
      <c r="B70" s="508" t="s">
        <v>462</v>
      </c>
      <c r="C70" s="508" t="s">
        <v>397</v>
      </c>
      <c r="D70" s="509"/>
      <c r="E70" s="509"/>
      <c r="F70" s="509"/>
      <c r="G70" s="509">
        <v>0</v>
      </c>
      <c r="H70" s="509"/>
      <c r="I70" s="509">
        <f>'Costa Sur'!F11</f>
        <v>0</v>
      </c>
      <c r="J70" s="508" t="s">
        <v>460</v>
      </c>
    </row>
    <row r="71" spans="1:10" ht="21" customHeight="1">
      <c r="A71" s="507" t="s">
        <v>33</v>
      </c>
      <c r="B71" s="508" t="s">
        <v>463</v>
      </c>
      <c r="C71" s="508" t="s">
        <v>397</v>
      </c>
      <c r="D71" s="509"/>
      <c r="E71" s="509"/>
      <c r="F71" s="509"/>
      <c r="G71" s="509">
        <v>0</v>
      </c>
      <c r="H71" s="509"/>
      <c r="I71" s="509">
        <f>'Costa Sur'!G11</f>
        <v>0</v>
      </c>
      <c r="J71" s="508" t="s">
        <v>460</v>
      </c>
    </row>
    <row r="72" spans="1:10" ht="21" customHeight="1">
      <c r="A72" s="507" t="s">
        <v>33</v>
      </c>
      <c r="B72" s="508" t="s">
        <v>464</v>
      </c>
      <c r="C72" s="508" t="s">
        <v>397</v>
      </c>
      <c r="D72" s="509">
        <v>0</v>
      </c>
      <c r="E72" s="509"/>
      <c r="F72" s="509"/>
      <c r="G72" s="509">
        <v>0</v>
      </c>
      <c r="H72" s="509">
        <v>0</v>
      </c>
      <c r="I72" s="509">
        <f>'Costa Sur'!B12</f>
        <v>0</v>
      </c>
      <c r="J72" s="508" t="s">
        <v>465</v>
      </c>
    </row>
    <row r="73" spans="1:10" ht="21" customHeight="1">
      <c r="A73" s="507" t="s">
        <v>33</v>
      </c>
      <c r="B73" s="508" t="s">
        <v>466</v>
      </c>
      <c r="C73" s="508" t="s">
        <v>397</v>
      </c>
      <c r="D73" s="509">
        <v>0</v>
      </c>
      <c r="E73" s="509"/>
      <c r="F73" s="509"/>
      <c r="G73" s="509">
        <v>0</v>
      </c>
      <c r="H73" s="509">
        <v>0</v>
      </c>
      <c r="I73" s="509">
        <f>'Costa Sur'!C12</f>
        <v>0</v>
      </c>
      <c r="J73" s="508" t="s">
        <v>465</v>
      </c>
    </row>
    <row r="74" spans="1:10" ht="21" customHeight="1">
      <c r="A74" s="507" t="s">
        <v>33</v>
      </c>
      <c r="B74" s="508" t="s">
        <v>467</v>
      </c>
      <c r="C74" s="508" t="s">
        <v>397</v>
      </c>
      <c r="D74" s="509"/>
      <c r="E74" s="509"/>
      <c r="F74" s="509"/>
      <c r="G74" s="509">
        <v>0</v>
      </c>
      <c r="H74" s="509"/>
      <c r="I74" s="509">
        <f>'Costa Sur'!F12</f>
        <v>0</v>
      </c>
      <c r="J74" s="508" t="s">
        <v>465</v>
      </c>
    </row>
    <row r="75" spans="1:10" ht="21" customHeight="1">
      <c r="A75" s="507" t="s">
        <v>33</v>
      </c>
      <c r="B75" s="508" t="s">
        <v>468</v>
      </c>
      <c r="C75" s="508" t="s">
        <v>397</v>
      </c>
      <c r="D75" s="509"/>
      <c r="E75" s="509"/>
      <c r="F75" s="509"/>
      <c r="G75" s="509">
        <v>0</v>
      </c>
      <c r="H75" s="509"/>
      <c r="I75" s="509">
        <f>'Costa Sur'!G12</f>
        <v>0</v>
      </c>
      <c r="J75" s="508" t="s">
        <v>465</v>
      </c>
    </row>
    <row r="76" spans="1:10" ht="21" customHeight="1">
      <c r="A76" s="507" t="s">
        <v>33</v>
      </c>
      <c r="B76" s="508" t="s">
        <v>469</v>
      </c>
      <c r="C76" s="508" t="s">
        <v>397</v>
      </c>
      <c r="D76" s="509">
        <v>0</v>
      </c>
      <c r="E76" s="509"/>
      <c r="F76" s="509"/>
      <c r="G76" s="509">
        <v>0</v>
      </c>
      <c r="H76" s="509">
        <v>0</v>
      </c>
      <c r="I76" s="509">
        <f>'Costa Sur'!B13</f>
        <v>0</v>
      </c>
      <c r="J76" s="508" t="s">
        <v>470</v>
      </c>
    </row>
    <row r="77" spans="1:10" ht="21" customHeight="1">
      <c r="A77" s="507" t="s">
        <v>33</v>
      </c>
      <c r="B77" s="508" t="s">
        <v>471</v>
      </c>
      <c r="C77" s="508" t="s">
        <v>397</v>
      </c>
      <c r="D77" s="509">
        <v>0</v>
      </c>
      <c r="E77" s="509"/>
      <c r="F77" s="509"/>
      <c r="G77" s="509">
        <v>0</v>
      </c>
      <c r="H77" s="509">
        <v>0</v>
      </c>
      <c r="I77" s="509">
        <f>'Costa Sur'!C13</f>
        <v>0</v>
      </c>
      <c r="J77" s="508" t="s">
        <v>470</v>
      </c>
    </row>
    <row r="78" spans="1:10" ht="21" customHeight="1">
      <c r="A78" s="507" t="s">
        <v>33</v>
      </c>
      <c r="B78" s="508" t="s">
        <v>472</v>
      </c>
      <c r="C78" s="508" t="s">
        <v>397</v>
      </c>
      <c r="D78" s="509"/>
      <c r="E78" s="509"/>
      <c r="F78" s="509"/>
      <c r="G78" s="509">
        <v>0</v>
      </c>
      <c r="H78" s="509"/>
      <c r="I78" s="509">
        <f>'Costa Sur'!F13</f>
        <v>0</v>
      </c>
      <c r="J78" s="508" t="s">
        <v>470</v>
      </c>
    </row>
    <row r="79" spans="1:10" ht="21" customHeight="1">
      <c r="A79" s="507" t="s">
        <v>33</v>
      </c>
      <c r="B79" s="508" t="s">
        <v>473</v>
      </c>
      <c r="C79" s="508" t="s">
        <v>397</v>
      </c>
      <c r="D79" s="509"/>
      <c r="E79" s="509"/>
      <c r="F79" s="509"/>
      <c r="G79" s="509">
        <v>0</v>
      </c>
      <c r="H79" s="509"/>
      <c r="I79" s="509">
        <f>'Costa Sur'!G13</f>
        <v>0</v>
      </c>
      <c r="J79" s="508" t="s">
        <v>470</v>
      </c>
    </row>
    <row r="80" spans="1:10" ht="21" customHeight="1">
      <c r="A80" s="507" t="s">
        <v>33</v>
      </c>
      <c r="B80" s="508" t="s">
        <v>474</v>
      </c>
      <c r="C80" s="508" t="s">
        <v>397</v>
      </c>
      <c r="D80" s="509">
        <v>0</v>
      </c>
      <c r="E80" s="509"/>
      <c r="F80" s="509"/>
      <c r="G80" s="509">
        <v>0</v>
      </c>
      <c r="H80" s="509">
        <v>0</v>
      </c>
      <c r="I80" s="509">
        <f>'Costa Sur'!B14</f>
        <v>0</v>
      </c>
      <c r="J80" s="508" t="s">
        <v>475</v>
      </c>
    </row>
    <row r="81" spans="1:10" ht="21" customHeight="1">
      <c r="A81" s="507" t="s">
        <v>33</v>
      </c>
      <c r="B81" s="508" t="s">
        <v>476</v>
      </c>
      <c r="C81" s="508" t="s">
        <v>397</v>
      </c>
      <c r="D81" s="509">
        <v>0</v>
      </c>
      <c r="E81" s="509"/>
      <c r="F81" s="509"/>
      <c r="G81" s="509">
        <v>0</v>
      </c>
      <c r="H81" s="509">
        <v>0</v>
      </c>
      <c r="I81" s="509">
        <f>'Costa Sur'!C14</f>
        <v>0</v>
      </c>
      <c r="J81" s="508" t="s">
        <v>475</v>
      </c>
    </row>
    <row r="82" spans="1:10" ht="21" customHeight="1">
      <c r="A82" s="507" t="s">
        <v>33</v>
      </c>
      <c r="B82" s="508" t="s">
        <v>477</v>
      </c>
      <c r="C82" s="508" t="s">
        <v>397</v>
      </c>
      <c r="D82" s="509"/>
      <c r="E82" s="509"/>
      <c r="F82" s="509"/>
      <c r="G82" s="509">
        <v>0</v>
      </c>
      <c r="H82" s="509"/>
      <c r="I82" s="509">
        <f>'Costa Sur'!F14</f>
        <v>0</v>
      </c>
      <c r="J82" s="508" t="s">
        <v>475</v>
      </c>
    </row>
    <row r="83" spans="1:10" ht="21" customHeight="1">
      <c r="A83" s="507" t="s">
        <v>33</v>
      </c>
      <c r="B83" s="508" t="s">
        <v>478</v>
      </c>
      <c r="C83" s="508" t="s">
        <v>397</v>
      </c>
      <c r="D83" s="509"/>
      <c r="E83" s="509"/>
      <c r="F83" s="509"/>
      <c r="G83" s="509">
        <v>0</v>
      </c>
      <c r="H83" s="509"/>
      <c r="I83" s="509">
        <f>'Costa Sur'!G14</f>
        <v>0</v>
      </c>
      <c r="J83" s="508" t="s">
        <v>475</v>
      </c>
    </row>
    <row r="84" spans="1:10" ht="21" customHeight="1">
      <c r="A84" s="507" t="s">
        <v>33</v>
      </c>
      <c r="B84" s="508" t="s">
        <v>479</v>
      </c>
      <c r="C84" s="508" t="s">
        <v>397</v>
      </c>
      <c r="D84" s="509">
        <v>0</v>
      </c>
      <c r="E84" s="509"/>
      <c r="F84" s="509"/>
      <c r="G84" s="509">
        <v>0</v>
      </c>
      <c r="H84" s="509">
        <v>0</v>
      </c>
      <c r="I84" s="509">
        <f>'Costa Sur'!B15</f>
        <v>0</v>
      </c>
      <c r="J84" s="508" t="s">
        <v>480</v>
      </c>
    </row>
    <row r="85" spans="1:10" ht="21" customHeight="1">
      <c r="A85" s="507" t="s">
        <v>33</v>
      </c>
      <c r="B85" s="508" t="s">
        <v>481</v>
      </c>
      <c r="C85" s="508" t="s">
        <v>397</v>
      </c>
      <c r="D85" s="509">
        <v>0</v>
      </c>
      <c r="E85" s="509"/>
      <c r="F85" s="509"/>
      <c r="G85" s="509">
        <v>0</v>
      </c>
      <c r="H85" s="509">
        <v>0</v>
      </c>
      <c r="I85" s="509">
        <f>'Costa Sur'!C15</f>
        <v>0</v>
      </c>
      <c r="J85" s="508" t="s">
        <v>480</v>
      </c>
    </row>
    <row r="86" spans="1:10" ht="21" customHeight="1">
      <c r="A86" s="507" t="s">
        <v>33</v>
      </c>
      <c r="B86" s="508" t="s">
        <v>482</v>
      </c>
      <c r="C86" s="508" t="s">
        <v>397</v>
      </c>
      <c r="D86" s="509"/>
      <c r="E86" s="509"/>
      <c r="F86" s="509"/>
      <c r="G86" s="509">
        <v>0</v>
      </c>
      <c r="H86" s="509"/>
      <c r="I86" s="509">
        <f>'Costa Sur'!F15</f>
        <v>0</v>
      </c>
      <c r="J86" s="508" t="s">
        <v>480</v>
      </c>
    </row>
    <row r="87" spans="1:10" ht="21" customHeight="1">
      <c r="A87" s="507" t="s">
        <v>33</v>
      </c>
      <c r="B87" s="508" t="s">
        <v>483</v>
      </c>
      <c r="C87" s="508" t="s">
        <v>397</v>
      </c>
      <c r="D87" s="509"/>
      <c r="E87" s="509"/>
      <c r="F87" s="509"/>
      <c r="G87" s="509">
        <v>0</v>
      </c>
      <c r="H87" s="509"/>
      <c r="I87" s="509">
        <f>'Costa Sur'!G15</f>
        <v>0</v>
      </c>
      <c r="J87" s="508" t="s">
        <v>480</v>
      </c>
    </row>
    <row r="88" spans="1:10" ht="21" customHeight="1">
      <c r="A88" s="507" t="s">
        <v>33</v>
      </c>
      <c r="B88" s="508" t="s">
        <v>484</v>
      </c>
      <c r="C88" s="508" t="s">
        <v>397</v>
      </c>
      <c r="D88" s="509">
        <v>0</v>
      </c>
      <c r="E88" s="509"/>
      <c r="F88" s="509"/>
      <c r="G88" s="509">
        <v>0</v>
      </c>
      <c r="H88" s="509">
        <v>0</v>
      </c>
      <c r="I88" s="509">
        <f>'Costa Sur'!B16</f>
        <v>0</v>
      </c>
      <c r="J88" s="508" t="s">
        <v>485</v>
      </c>
    </row>
    <row r="89" spans="1:10" ht="21" customHeight="1">
      <c r="A89" s="507" t="s">
        <v>33</v>
      </c>
      <c r="B89" s="508" t="s">
        <v>486</v>
      </c>
      <c r="C89" s="508" t="s">
        <v>397</v>
      </c>
      <c r="D89" s="509">
        <v>0</v>
      </c>
      <c r="E89" s="509"/>
      <c r="F89" s="509"/>
      <c r="G89" s="509">
        <v>0</v>
      </c>
      <c r="H89" s="509">
        <v>0</v>
      </c>
      <c r="I89" s="509">
        <f>'Costa Sur'!C16</f>
        <v>0</v>
      </c>
      <c r="J89" s="508" t="s">
        <v>485</v>
      </c>
    </row>
    <row r="90" spans="1:10" ht="21" customHeight="1">
      <c r="A90" s="507" t="s">
        <v>33</v>
      </c>
      <c r="B90" s="508" t="s">
        <v>487</v>
      </c>
      <c r="C90" s="508" t="s">
        <v>397</v>
      </c>
      <c r="D90" s="509"/>
      <c r="E90" s="509"/>
      <c r="F90" s="509"/>
      <c r="G90" s="509">
        <v>0</v>
      </c>
      <c r="H90" s="509"/>
      <c r="I90" s="509">
        <f>'Costa Sur'!F16</f>
        <v>0</v>
      </c>
      <c r="J90" s="508" t="s">
        <v>485</v>
      </c>
    </row>
    <row r="91" spans="1:10" ht="21" customHeight="1">
      <c r="A91" s="507" t="s">
        <v>33</v>
      </c>
      <c r="B91" s="508" t="s">
        <v>488</v>
      </c>
      <c r="C91" s="508" t="s">
        <v>397</v>
      </c>
      <c r="D91" s="509"/>
      <c r="E91" s="509"/>
      <c r="F91" s="509"/>
      <c r="G91" s="509">
        <v>0</v>
      </c>
      <c r="H91" s="509"/>
      <c r="I91" s="509">
        <f>'Costa Sur'!G16</f>
        <v>0</v>
      </c>
      <c r="J91" s="508" t="s">
        <v>485</v>
      </c>
    </row>
    <row r="92" spans="1:10" ht="21" customHeight="1">
      <c r="A92" s="507" t="s">
        <v>33</v>
      </c>
      <c r="B92" s="508" t="s">
        <v>489</v>
      </c>
      <c r="C92" s="508" t="s">
        <v>411</v>
      </c>
      <c r="D92" s="509">
        <f>SUM($D$16,$D$24,$D$34,$D$44,$D$52,$D$60,$D$68,$D$72,$D$76,$D$80,$D$84,$D$88)</f>
        <v>0</v>
      </c>
      <c r="E92" s="509">
        <f>SUM($E$16,$E$24,$E$34,$E$44,$E$52,$E$60,$E$68,$E$72,$E$76,$E$80,$E$84,$E$88)</f>
        <v>0</v>
      </c>
      <c r="F92" s="509">
        <f>SUM($F$16,$F$24,$F$34,$F$44,$F$52,$F$60,$F$68,$F$72,$F$76,$F$80,$F$84,$F$88)</f>
        <v>0</v>
      </c>
      <c r="G92" s="509">
        <f>SUM($G$16,$G$24,$G$34,$G$44,$G$52,$G$60,$G$68,$G$72,$G$76,$G$80,$G$84,$G$88)</f>
        <v>0</v>
      </c>
      <c r="H92" s="509">
        <f>SUM($H$16,$H$24,$H$34,$H$44,$H$52,$H$60,$H$68,$H$72,$H$76,$H$80,$H$84,$H$88)</f>
        <v>0</v>
      </c>
      <c r="I92" s="509">
        <f>SUM($I$16,$I$24,$I$34,$I$44,$I$52,$I$60,$I$68,$I$72,$I$76,$I$80,$I$84,$I$88)</f>
        <v>0</v>
      </c>
      <c r="J92" s="508" t="s">
        <v>20</v>
      </c>
    </row>
    <row r="93" spans="1:10" ht="21" customHeight="1">
      <c r="A93" s="507" t="s">
        <v>33</v>
      </c>
      <c r="B93" s="508" t="s">
        <v>490</v>
      </c>
      <c r="C93" s="508" t="s">
        <v>411</v>
      </c>
      <c r="D93" s="509">
        <f>SUM($D$17,$D$25,$D$35,$D$45,$D$53,$D$61,$D$69,$D$73,$D$77,$D$81,$D$85,$D$89)</f>
        <v>0</v>
      </c>
      <c r="E93" s="509">
        <f>SUM($E$17,$E$25,$E$35,$E$45,$E$53,$E$61,$E$69,$E$73,$E$77,$E$81,$E$85,$E$89)</f>
        <v>0</v>
      </c>
      <c r="F93" s="509">
        <f>SUM($F$17,$F$25,$F$35,$F$45,$F$53,$F$61,$F$69,$F$73,$F$77,$F$81,$F$85,$F$89)</f>
        <v>0</v>
      </c>
      <c r="G93" s="509">
        <f>SUM($G$17,$G$25,$G$35,$G$45,$G$53,$G$61,$G$69,$G$73,$G$77,$G$81,$G$85,$G$89)</f>
        <v>0</v>
      </c>
      <c r="H93" s="509">
        <f>SUM($H$17,$H$25,$H$35,$H$45,$H$53,$H$61,$H$69,$H$73,$H$77,$H$81,$H$85,$H$89)</f>
        <v>0</v>
      </c>
      <c r="I93" s="509">
        <f>SUM($I$17,$I$25,$I$35,$I$45,$I$53,$I$61,$I$69,$I$73,$I$77,$I$81,$I$85,$I$89)</f>
        <v>0</v>
      </c>
      <c r="J93" s="508" t="s">
        <v>20</v>
      </c>
    </row>
    <row r="94" spans="1:10" ht="21" customHeight="1">
      <c r="A94" s="507" t="s">
        <v>33</v>
      </c>
      <c r="B94" s="508" t="s">
        <v>491</v>
      </c>
      <c r="C94" s="508" t="s">
        <v>411</v>
      </c>
      <c r="D94" s="509"/>
      <c r="E94" s="509">
        <f>AVERAGE($E$20,$E$28,$E$38,$E$48,$E$56,$E$64,$E$70,$E$74,$E$78,$E$82,$E$86,$E$90)</f>
        <v>0</v>
      </c>
      <c r="F94" s="509">
        <f>AVERAGE($F$20,$F$28,$F$38,$F$48,$F$56,$F$64,$F$70,$F$74,$F$78,$F$82,$F$86,$F$90)</f>
        <v>0</v>
      </c>
      <c r="G94" s="509">
        <f>AVERAGE($G$20,$G$28,$G$38,$G$48,$G$56,$G$64,$G$70,$G$74,$G$78,$G$82,$G$86,$G$90)</f>
        <v>0</v>
      </c>
      <c r="H94" s="509">
        <f>AVERAGE($H$20,$H$28,$H$38,$H$48,$H$56,$H$64,$H$70,$H$74,$H$78,$H$82,$H$86,$H$90)</f>
        <v>0</v>
      </c>
      <c r="I94" s="509">
        <f>AVERAGE($I$20,$I$28,$I$38,$I$48,$I$56,$I$64,$I$70,$I$74,$I$78,$I$82,$I$86,$I$90)</f>
        <v>0</v>
      </c>
      <c r="J94" s="508" t="s">
        <v>20</v>
      </c>
    </row>
    <row r="95" spans="1:10" ht="21" customHeight="1">
      <c r="A95" s="507" t="s">
        <v>33</v>
      </c>
      <c r="B95" s="508" t="s">
        <v>492</v>
      </c>
      <c r="C95" s="508" t="s">
        <v>411</v>
      </c>
      <c r="D95" s="509"/>
      <c r="E95" s="509">
        <f>AVERAGE($E$21,$E$29,$E$39,$E$49,$E$57,$E$65,$E$71,$E$75,$E$79,$E$83,$E$87,$E$91)</f>
        <v>0</v>
      </c>
      <c r="F95" s="509">
        <f>AVERAGE($F$21,$F$29,$F$39,$F$49,$F$57,$F$65,$F$71,$F$75,$F$79,$F$83,$F$87,$F$91)</f>
        <v>0</v>
      </c>
      <c r="G95" s="509">
        <f>AVERAGE($G$21,$G$29,$G$39,$G$49,$G$57,$G$65,$G$71,$G$75,$G$79,$G$83,$G$87,$G$91)</f>
        <v>0</v>
      </c>
      <c r="H95" s="509">
        <f>AVERAGE($H$21,$H$29,$H$39,$H$49,$H$57,$H$65,$H$71,$H$75,$H$79,$H$83,$H$87,$H$91)</f>
        <v>0</v>
      </c>
      <c r="I95" s="509">
        <f>AVERAGE($I$21,$I$29,$I$39,$I$49,$I$57,$I$65,$I$71,$I$75,$I$79,$I$83,$I$87,$I$91)</f>
        <v>0</v>
      </c>
      <c r="J95" s="508" t="s">
        <v>20</v>
      </c>
    </row>
    <row r="96" spans="1:10" ht="21" customHeight="1">
      <c r="A96" s="507" t="s">
        <v>33</v>
      </c>
      <c r="B96" s="508" t="s">
        <v>493</v>
      </c>
      <c r="C96" s="508" t="s">
        <v>397</v>
      </c>
      <c r="D96" s="509">
        <v>0</v>
      </c>
      <c r="E96" s="509"/>
      <c r="F96" s="509"/>
      <c r="G96" s="509"/>
      <c r="H96" s="509"/>
      <c r="I96" s="509"/>
      <c r="J96" s="508"/>
    </row>
    <row r="97" spans="1:10" ht="21" customHeight="1">
      <c r="A97" s="507" t="s">
        <v>33</v>
      </c>
      <c r="B97" s="508" t="s">
        <v>494</v>
      </c>
      <c r="C97" s="508" t="s">
        <v>397</v>
      </c>
      <c r="D97" s="509">
        <v>0</v>
      </c>
      <c r="E97" s="509"/>
      <c r="F97" s="509"/>
      <c r="G97" s="509"/>
      <c r="H97" s="509"/>
      <c r="I97" s="509"/>
      <c r="J97" s="508"/>
    </row>
    <row r="98" spans="1:10" ht="21" customHeight="1">
      <c r="A98" s="507" t="s">
        <v>33</v>
      </c>
      <c r="B98" s="508" t="s">
        <v>495</v>
      </c>
      <c r="C98" s="508" t="s">
        <v>397</v>
      </c>
      <c r="D98" s="509">
        <v>1E-3</v>
      </c>
      <c r="E98" s="509"/>
      <c r="F98" s="509"/>
      <c r="G98" s="509"/>
      <c r="H98" s="509"/>
      <c r="I98" s="509"/>
      <c r="J98" s="508"/>
    </row>
    <row r="99" spans="1:10" ht="21" customHeight="1">
      <c r="A99" s="507" t="s">
        <v>33</v>
      </c>
      <c r="B99" s="508" t="s">
        <v>496</v>
      </c>
      <c r="C99" s="508" t="s">
        <v>397</v>
      </c>
      <c r="D99" s="509">
        <v>1E-3</v>
      </c>
      <c r="E99" s="509"/>
      <c r="F99" s="509"/>
      <c r="G99" s="509"/>
      <c r="H99" s="509"/>
      <c r="I99" s="509"/>
      <c r="J99" s="508"/>
    </row>
    <row r="100" spans="1:10" ht="21" customHeight="1">
      <c r="A100" s="507" t="s">
        <v>33</v>
      </c>
      <c r="B100" s="508" t="s">
        <v>497</v>
      </c>
      <c r="C100" s="508" t="s">
        <v>397</v>
      </c>
      <c r="D100" s="509"/>
      <c r="E100" s="509">
        <v>0</v>
      </c>
      <c r="F100" s="509"/>
      <c r="G100" s="509"/>
      <c r="H100" s="509"/>
      <c r="I100" s="509"/>
      <c r="J100" s="508" t="s">
        <v>412</v>
      </c>
    </row>
    <row r="101" spans="1:10" ht="21" customHeight="1">
      <c r="A101" s="507" t="s">
        <v>33</v>
      </c>
      <c r="B101" s="508" t="s">
        <v>498</v>
      </c>
      <c r="C101" s="508" t="s">
        <v>397</v>
      </c>
      <c r="D101" s="509"/>
      <c r="E101" s="509">
        <v>0</v>
      </c>
      <c r="F101" s="509"/>
      <c r="G101" s="509"/>
      <c r="H101" s="509"/>
      <c r="I101" s="509"/>
      <c r="J101" s="508" t="s">
        <v>412</v>
      </c>
    </row>
    <row r="102" spans="1:10" ht="21" customHeight="1">
      <c r="A102" s="507" t="s">
        <v>33</v>
      </c>
      <c r="B102" s="508" t="s">
        <v>499</v>
      </c>
      <c r="C102" s="508" t="s">
        <v>397</v>
      </c>
      <c r="D102" s="509"/>
      <c r="E102" s="509">
        <v>8.0000000000000002E-3</v>
      </c>
      <c r="F102" s="509"/>
      <c r="G102" s="509"/>
      <c r="H102" s="509"/>
      <c r="I102" s="509"/>
      <c r="J102" s="508" t="s">
        <v>412</v>
      </c>
    </row>
    <row r="103" spans="1:10" ht="21" customHeight="1">
      <c r="A103" s="507" t="s">
        <v>33</v>
      </c>
      <c r="B103" s="508" t="s">
        <v>500</v>
      </c>
      <c r="C103" s="508" t="s">
        <v>397</v>
      </c>
      <c r="D103" s="509"/>
      <c r="E103" s="509">
        <v>8.0000000000000002E-3</v>
      </c>
      <c r="F103" s="509"/>
      <c r="G103" s="509"/>
      <c r="H103" s="509"/>
      <c r="I103" s="509"/>
      <c r="J103" s="508" t="s">
        <v>412</v>
      </c>
    </row>
    <row r="104" spans="1:10" ht="21" customHeight="1">
      <c r="A104" s="507" t="s">
        <v>33</v>
      </c>
      <c r="B104" s="508" t="s">
        <v>501</v>
      </c>
      <c r="C104" s="508" t="s">
        <v>397</v>
      </c>
      <c r="D104" s="509"/>
      <c r="E104" s="509"/>
      <c r="F104" s="509">
        <v>0</v>
      </c>
      <c r="G104" s="509"/>
      <c r="H104" s="509"/>
      <c r="I104" s="509"/>
      <c r="J104" s="508"/>
    </row>
    <row r="105" spans="1:10" ht="21" customHeight="1">
      <c r="A105" s="507" t="s">
        <v>33</v>
      </c>
      <c r="B105" s="508" t="s">
        <v>502</v>
      </c>
      <c r="C105" s="508" t="s">
        <v>397</v>
      </c>
      <c r="D105" s="509"/>
      <c r="E105" s="509"/>
      <c r="F105" s="509">
        <v>0</v>
      </c>
      <c r="G105" s="509"/>
      <c r="H105" s="509"/>
      <c r="I105" s="509"/>
      <c r="J105" s="508"/>
    </row>
    <row r="106" spans="1:10" ht="21" customHeight="1">
      <c r="A106" s="507" t="s">
        <v>33</v>
      </c>
      <c r="B106" s="508" t="s">
        <v>503</v>
      </c>
      <c r="C106" s="508" t="s">
        <v>397</v>
      </c>
      <c r="D106" s="509"/>
      <c r="E106" s="509"/>
      <c r="F106" s="509">
        <v>1E-4</v>
      </c>
      <c r="G106" s="509"/>
      <c r="H106" s="509"/>
      <c r="I106" s="509"/>
      <c r="J106" s="508"/>
    </row>
    <row r="107" spans="1:10" ht="21" customHeight="1">
      <c r="A107" s="507" t="s">
        <v>33</v>
      </c>
      <c r="B107" s="508" t="s">
        <v>504</v>
      </c>
      <c r="C107" s="508" t="s">
        <v>397</v>
      </c>
      <c r="D107" s="509"/>
      <c r="E107" s="509"/>
      <c r="F107" s="509">
        <v>1E-4</v>
      </c>
      <c r="G107" s="509"/>
      <c r="H107" s="509"/>
      <c r="I107" s="509"/>
      <c r="J107" s="508"/>
    </row>
    <row r="108" spans="1:10" ht="21" customHeight="1">
      <c r="A108" s="507" t="s">
        <v>33</v>
      </c>
      <c r="B108" s="508" t="s">
        <v>505</v>
      </c>
      <c r="C108" s="508" t="s">
        <v>397</v>
      </c>
      <c r="D108" s="509"/>
      <c r="E108" s="509"/>
      <c r="F108" s="509"/>
      <c r="G108" s="509">
        <v>0</v>
      </c>
      <c r="H108" s="509"/>
      <c r="I108" s="509"/>
      <c r="J108" s="508"/>
    </row>
    <row r="109" spans="1:10" ht="21" customHeight="1">
      <c r="A109" s="507" t="s">
        <v>33</v>
      </c>
      <c r="B109" s="508" t="s">
        <v>506</v>
      </c>
      <c r="C109" s="508" t="s">
        <v>397</v>
      </c>
      <c r="D109" s="509"/>
      <c r="E109" s="509"/>
      <c r="F109" s="509"/>
      <c r="G109" s="509">
        <v>0</v>
      </c>
      <c r="H109" s="509"/>
      <c r="I109" s="509"/>
      <c r="J109" s="508"/>
    </row>
    <row r="110" spans="1:10" ht="21" customHeight="1">
      <c r="A110" s="507" t="s">
        <v>33</v>
      </c>
      <c r="B110" s="508" t="s">
        <v>507</v>
      </c>
      <c r="C110" s="508" t="s">
        <v>397</v>
      </c>
      <c r="D110" s="509"/>
      <c r="E110" s="509"/>
      <c r="F110" s="509"/>
      <c r="G110" s="509">
        <v>0.01</v>
      </c>
      <c r="H110" s="509"/>
      <c r="I110" s="509"/>
      <c r="J110" s="508"/>
    </row>
    <row r="111" spans="1:10" ht="21" customHeight="1">
      <c r="A111" s="507" t="s">
        <v>33</v>
      </c>
      <c r="B111" s="508" t="s">
        <v>508</v>
      </c>
      <c r="C111" s="508" t="s">
        <v>397</v>
      </c>
      <c r="D111" s="509"/>
      <c r="E111" s="509"/>
      <c r="F111" s="509"/>
      <c r="G111" s="509">
        <v>0.01</v>
      </c>
      <c r="H111" s="509"/>
      <c r="I111" s="509"/>
      <c r="J111" s="508"/>
    </row>
    <row r="112" spans="1:10" ht="21" customHeight="1">
      <c r="A112" s="507" t="s">
        <v>33</v>
      </c>
      <c r="B112" s="508" t="s">
        <v>509</v>
      </c>
      <c r="C112" s="508" t="s">
        <v>397</v>
      </c>
      <c r="D112" s="509"/>
      <c r="E112" s="509"/>
      <c r="F112" s="509"/>
      <c r="G112" s="509"/>
      <c r="H112" s="509">
        <v>0</v>
      </c>
      <c r="I112" s="509"/>
      <c r="J112" s="508"/>
    </row>
    <row r="113" spans="1:10" ht="21" customHeight="1">
      <c r="A113" s="507" t="s">
        <v>33</v>
      </c>
      <c r="B113" s="508" t="s">
        <v>510</v>
      </c>
      <c r="C113" s="508" t="s">
        <v>397</v>
      </c>
      <c r="D113" s="509"/>
      <c r="E113" s="509"/>
      <c r="F113" s="509"/>
      <c r="G113" s="509"/>
      <c r="H113" s="509">
        <v>0</v>
      </c>
      <c r="I113" s="509"/>
      <c r="J113" s="508"/>
    </row>
    <row r="114" spans="1:10" ht="21" customHeight="1">
      <c r="A114" s="507" t="s">
        <v>33</v>
      </c>
      <c r="B114" s="508" t="s">
        <v>511</v>
      </c>
      <c r="C114" s="508" t="s">
        <v>397</v>
      </c>
      <c r="D114" s="509"/>
      <c r="E114" s="509"/>
      <c r="F114" s="509"/>
      <c r="G114" s="509"/>
      <c r="H114" s="509">
        <v>0.01</v>
      </c>
      <c r="I114" s="509"/>
      <c r="J114" s="508"/>
    </row>
    <row r="115" spans="1:10" ht="21" customHeight="1">
      <c r="A115" s="507" t="s">
        <v>33</v>
      </c>
      <c r="B115" s="508" t="s">
        <v>512</v>
      </c>
      <c r="C115" s="508" t="s">
        <v>397</v>
      </c>
      <c r="D115" s="509"/>
      <c r="E115" s="509"/>
      <c r="F115" s="509"/>
      <c r="G115" s="509"/>
      <c r="H115" s="509">
        <v>0.01</v>
      </c>
      <c r="I115" s="509"/>
      <c r="J115" s="508"/>
    </row>
    <row r="116" spans="1:10" ht="21" customHeight="1">
      <c r="A116" s="507" t="s">
        <v>33</v>
      </c>
      <c r="B116" s="508" t="s">
        <v>513</v>
      </c>
      <c r="C116" s="508" t="s">
        <v>397</v>
      </c>
      <c r="D116" s="509"/>
      <c r="E116" s="509"/>
      <c r="F116" s="509"/>
      <c r="G116" s="509"/>
      <c r="H116" s="509"/>
      <c r="I116" s="509">
        <f>'Costa Sur'!B29</f>
        <v>0</v>
      </c>
      <c r="J116" s="508"/>
    </row>
    <row r="117" spans="1:10" ht="21" customHeight="1">
      <c r="A117" s="507" t="s">
        <v>33</v>
      </c>
      <c r="B117" s="508" t="s">
        <v>514</v>
      </c>
      <c r="C117" s="508" t="s">
        <v>397</v>
      </c>
      <c r="D117" s="509"/>
      <c r="E117" s="509"/>
      <c r="F117" s="509"/>
      <c r="G117" s="509"/>
      <c r="H117" s="509"/>
      <c r="I117" s="509">
        <f>'Costa Sur'!C29</f>
        <v>0</v>
      </c>
      <c r="J117" s="508"/>
    </row>
    <row r="118" spans="1:10" ht="21" customHeight="1">
      <c r="A118" s="507" t="s">
        <v>33</v>
      </c>
      <c r="B118" s="508" t="s">
        <v>515</v>
      </c>
      <c r="C118" s="508" t="s">
        <v>397</v>
      </c>
      <c r="D118" s="509"/>
      <c r="E118" s="509"/>
      <c r="F118" s="509"/>
      <c r="G118" s="509"/>
      <c r="H118" s="509"/>
      <c r="I118" s="509">
        <f>'Costa Sur'!D29</f>
        <v>0.01</v>
      </c>
      <c r="J118" s="508"/>
    </row>
    <row r="119" spans="1:10" ht="21" customHeight="1">
      <c r="A119" s="507" t="s">
        <v>33</v>
      </c>
      <c r="B119" s="508" t="s">
        <v>516</v>
      </c>
      <c r="C119" s="508" t="s">
        <v>397</v>
      </c>
      <c r="D119" s="509"/>
      <c r="E119" s="509"/>
      <c r="F119" s="509"/>
      <c r="G119" s="509"/>
      <c r="H119" s="509"/>
      <c r="I119" s="509">
        <f>'Costa Sur'!E29</f>
        <v>0.01</v>
      </c>
      <c r="J119" s="508"/>
    </row>
    <row r="120" spans="1:10" ht="21" customHeight="1">
      <c r="A120" s="507" t="s">
        <v>33</v>
      </c>
      <c r="B120" s="508" t="s">
        <v>517</v>
      </c>
      <c r="C120" s="508" t="s">
        <v>397</v>
      </c>
      <c r="D120" s="509">
        <v>1554213850</v>
      </c>
      <c r="E120" s="509"/>
      <c r="F120" s="509"/>
      <c r="G120" s="509"/>
      <c r="H120" s="509"/>
      <c r="I120" s="509"/>
      <c r="J120" s="508"/>
    </row>
    <row r="121" spans="1:10" ht="21" customHeight="1">
      <c r="A121" s="507" t="s">
        <v>33</v>
      </c>
      <c r="B121" s="508" t="s">
        <v>518</v>
      </c>
      <c r="C121" s="508" t="s">
        <v>397</v>
      </c>
      <c r="D121" s="509">
        <v>742542910</v>
      </c>
      <c r="E121" s="509"/>
      <c r="F121" s="509"/>
      <c r="G121" s="509"/>
      <c r="H121" s="509"/>
      <c r="I121" s="509"/>
      <c r="J121" s="508"/>
    </row>
    <row r="122" spans="1:10" ht="21" customHeight="1">
      <c r="A122" s="507" t="s">
        <v>33</v>
      </c>
      <c r="B122" s="508" t="s">
        <v>519</v>
      </c>
      <c r="C122" s="508" t="s">
        <v>397</v>
      </c>
      <c r="D122" s="509"/>
      <c r="E122" s="509">
        <v>1492830</v>
      </c>
      <c r="F122" s="509"/>
      <c r="G122" s="509"/>
      <c r="H122" s="509"/>
      <c r="I122" s="509"/>
      <c r="J122" s="508" t="s">
        <v>412</v>
      </c>
    </row>
    <row r="123" spans="1:10" ht="21" customHeight="1">
      <c r="A123" s="507" t="s">
        <v>33</v>
      </c>
      <c r="B123" s="508" t="s">
        <v>520</v>
      </c>
      <c r="C123" s="508" t="s">
        <v>397</v>
      </c>
      <c r="D123" s="509"/>
      <c r="E123" s="509">
        <v>731915920</v>
      </c>
      <c r="F123" s="509"/>
      <c r="G123" s="509"/>
      <c r="H123" s="509"/>
      <c r="I123" s="509"/>
      <c r="J123" s="508" t="s">
        <v>412</v>
      </c>
    </row>
    <row r="124" spans="1:10" ht="21" customHeight="1">
      <c r="A124" s="507" t="s">
        <v>33</v>
      </c>
      <c r="B124" s="508" t="s">
        <v>521</v>
      </c>
      <c r="C124" s="508" t="s">
        <v>397</v>
      </c>
      <c r="D124" s="509"/>
      <c r="E124" s="509"/>
      <c r="F124" s="509">
        <v>1819735664.8499999</v>
      </c>
      <c r="G124" s="509"/>
      <c r="H124" s="509"/>
      <c r="I124" s="509"/>
      <c r="J124" s="508"/>
    </row>
    <row r="125" spans="1:10" ht="21" customHeight="1">
      <c r="A125" s="507" t="s">
        <v>33</v>
      </c>
      <c r="B125" s="508" t="s">
        <v>522</v>
      </c>
      <c r="C125" s="508" t="s">
        <v>397</v>
      </c>
      <c r="D125" s="509"/>
      <c r="E125" s="509"/>
      <c r="F125" s="509">
        <v>1696905270</v>
      </c>
      <c r="G125" s="509"/>
      <c r="H125" s="509"/>
      <c r="I125" s="509"/>
      <c r="J125" s="508"/>
    </row>
    <row r="126" spans="1:10" ht="21" customHeight="1">
      <c r="A126" s="507" t="s">
        <v>33</v>
      </c>
      <c r="B126" s="508" t="s">
        <v>523</v>
      </c>
      <c r="C126" s="508" t="s">
        <v>397</v>
      </c>
      <c r="D126" s="509"/>
      <c r="E126" s="509"/>
      <c r="F126" s="509"/>
      <c r="G126" s="509">
        <v>1802878930.3499999</v>
      </c>
      <c r="H126" s="509"/>
      <c r="I126" s="509"/>
      <c r="J126" s="508"/>
    </row>
    <row r="127" spans="1:10" ht="21" customHeight="1">
      <c r="A127" s="507" t="s">
        <v>33</v>
      </c>
      <c r="B127" s="508" t="s">
        <v>524</v>
      </c>
      <c r="C127" s="508" t="s">
        <v>397</v>
      </c>
      <c r="D127" s="509"/>
      <c r="E127" s="509"/>
      <c r="F127" s="509"/>
      <c r="G127" s="509">
        <v>1204545823.6500001</v>
      </c>
      <c r="H127" s="509"/>
      <c r="I127" s="509"/>
      <c r="J127" s="508"/>
    </row>
    <row r="128" spans="1:10" ht="21" customHeight="1">
      <c r="A128" s="507" t="s">
        <v>33</v>
      </c>
      <c r="B128" s="508" t="s">
        <v>525</v>
      </c>
      <c r="C128" s="508" t="s">
        <v>397</v>
      </c>
      <c r="D128" s="509"/>
      <c r="E128" s="509"/>
      <c r="F128" s="509"/>
      <c r="G128" s="509"/>
      <c r="H128" s="509">
        <v>1879125480</v>
      </c>
      <c r="I128" s="509"/>
      <c r="J128" s="508"/>
    </row>
    <row r="129" spans="1:10" ht="21" customHeight="1">
      <c r="A129" s="507" t="s">
        <v>33</v>
      </c>
      <c r="B129" s="508" t="s">
        <v>526</v>
      </c>
      <c r="C129" s="508" t="s">
        <v>397</v>
      </c>
      <c r="D129" s="509"/>
      <c r="E129" s="509"/>
      <c r="F129" s="509"/>
      <c r="G129" s="509"/>
      <c r="H129" s="509">
        <v>1145662860</v>
      </c>
      <c r="I129" s="509"/>
      <c r="J129" s="508"/>
    </row>
    <row r="130" spans="1:10" ht="21" customHeight="1">
      <c r="A130" s="507" t="s">
        <v>33</v>
      </c>
      <c r="B130" s="508" t="s">
        <v>527</v>
      </c>
      <c r="C130" s="508" t="s">
        <v>397</v>
      </c>
      <c r="D130" s="509"/>
      <c r="E130" s="509"/>
      <c r="F130" s="509"/>
      <c r="G130" s="509"/>
      <c r="H130" s="509"/>
      <c r="I130" s="509">
        <f>'Costa Sur'!B47</f>
        <v>2234892060</v>
      </c>
      <c r="J130" s="508"/>
    </row>
    <row r="131" spans="1:10" ht="21" customHeight="1">
      <c r="A131" s="507" t="s">
        <v>33</v>
      </c>
      <c r="B131" s="508" t="s">
        <v>528</v>
      </c>
      <c r="C131" s="508" t="s">
        <v>397</v>
      </c>
      <c r="D131" s="509"/>
      <c r="E131" s="509"/>
      <c r="F131" s="509"/>
      <c r="G131" s="509"/>
      <c r="H131" s="509"/>
      <c r="I131" s="509">
        <f>'Costa Sur'!C47</f>
        <v>1965580205.8499999</v>
      </c>
      <c r="J131" s="508"/>
    </row>
    <row r="132" spans="1:10" ht="21" customHeight="1">
      <c r="A132" s="510" t="s">
        <v>529</v>
      </c>
      <c r="B132" s="506"/>
      <c r="C132" s="506"/>
      <c r="D132" s="511"/>
      <c r="E132" s="511"/>
      <c r="F132" s="511"/>
      <c r="G132" s="511"/>
      <c r="H132" s="511"/>
      <c r="I132" s="512"/>
      <c r="J132" s="506"/>
    </row>
    <row r="133" spans="1:10" ht="21" customHeight="1">
      <c r="A133" s="507" t="s">
        <v>529</v>
      </c>
      <c r="B133" s="508" t="s">
        <v>530</v>
      </c>
      <c r="C133" s="508" t="s">
        <v>411</v>
      </c>
      <c r="D133" s="509">
        <f>(73.96+0.003*25+0.0006*298)*2.2046</f>
        <v>163.61174348</v>
      </c>
      <c r="E133" s="509">
        <f>(73.96+0.003*25+0.0006*298)*2.2046</f>
        <v>163.61174348</v>
      </c>
      <c r="F133" s="509">
        <f>(73.96+0.003*25+0.0006*298)*2.2046</f>
        <v>163.61174348</v>
      </c>
      <c r="G133" s="509">
        <f>(73.96+0.003*25+0.0006*298)*2.2046</f>
        <v>163.61174348</v>
      </c>
      <c r="H133" s="509">
        <f>(73.96+0.003*25+0.0006*298)*2.2046</f>
        <v>163.61174348</v>
      </c>
      <c r="I133" s="509">
        <f>(73.96+0.003*25+0.0006*298)*2.2046</f>
        <v>163.61174348</v>
      </c>
      <c r="J133" s="508"/>
    </row>
    <row r="134" spans="1:10" ht="21" customHeight="1">
      <c r="A134" s="507" t="s">
        <v>529</v>
      </c>
      <c r="B134" s="508" t="s">
        <v>471</v>
      </c>
      <c r="C134" s="508" t="s">
        <v>411</v>
      </c>
      <c r="D134" s="509">
        <f>$D$96+$D$97</f>
        <v>0</v>
      </c>
      <c r="E134" s="509">
        <f>$E$100+$E$101</f>
        <v>0</v>
      </c>
      <c r="F134" s="509">
        <f>$F$104+$F$105</f>
        <v>0</v>
      </c>
      <c r="G134" s="509">
        <f>$G$108+$G$109</f>
        <v>0</v>
      </c>
      <c r="H134" s="509">
        <f>$H$112+$H$113</f>
        <v>0</v>
      </c>
      <c r="I134" s="509">
        <f>$I$116+$I$117</f>
        <v>0</v>
      </c>
      <c r="J134" s="508"/>
    </row>
    <row r="135" spans="1:10" ht="21" customHeight="1">
      <c r="A135" s="507" t="s">
        <v>529</v>
      </c>
      <c r="B135" s="508" t="s">
        <v>476</v>
      </c>
      <c r="C135" s="508" t="s">
        <v>411</v>
      </c>
      <c r="D135" s="509">
        <f>MAX($D$98,$D$99)</f>
        <v>1E-3</v>
      </c>
      <c r="E135" s="509">
        <f>MAX($E$102,$E$103)</f>
        <v>8.0000000000000002E-3</v>
      </c>
      <c r="F135" s="509">
        <f>MAX($F$106,$F$107)</f>
        <v>1E-4</v>
      </c>
      <c r="G135" s="509">
        <f>MAX($G$110,$G$111)</f>
        <v>0.01</v>
      </c>
      <c r="H135" s="509">
        <f>MAX($H$114,$H$115)</f>
        <v>0.01</v>
      </c>
      <c r="I135" s="509">
        <f>MAX($I$118,$I$119)</f>
        <v>0.01</v>
      </c>
      <c r="J135" s="508"/>
    </row>
    <row r="136" spans="1:10" ht="21" customHeight="1">
      <c r="A136" s="507" t="s">
        <v>529</v>
      </c>
      <c r="B136" s="508" t="s">
        <v>531</v>
      </c>
      <c r="C136" s="508" t="s">
        <v>397</v>
      </c>
      <c r="D136" s="509">
        <v>1.2E-2</v>
      </c>
      <c r="E136" s="509">
        <v>1.2E-2</v>
      </c>
      <c r="F136" s="509">
        <v>1.2E-2</v>
      </c>
      <c r="G136" s="509">
        <v>1.2E-2</v>
      </c>
      <c r="H136" s="509">
        <v>1.2E-2</v>
      </c>
      <c r="I136" s="509">
        <f>'Turbinas CS'!C19</f>
        <v>1.2E-2</v>
      </c>
      <c r="J136" s="508"/>
    </row>
    <row r="137" spans="1:10" ht="21" customHeight="1">
      <c r="A137" s="507" t="s">
        <v>529</v>
      </c>
      <c r="B137" s="508" t="s">
        <v>532</v>
      </c>
      <c r="C137" s="508" t="s">
        <v>411</v>
      </c>
      <c r="D137" s="509">
        <f>$D$134</f>
        <v>0</v>
      </c>
      <c r="E137" s="509">
        <f>$E$134</f>
        <v>0</v>
      </c>
      <c r="F137" s="509">
        <f>$F$134</f>
        <v>0</v>
      </c>
      <c r="G137" s="509">
        <f>$G$134</f>
        <v>0</v>
      </c>
      <c r="H137" s="509">
        <f>$H$134</f>
        <v>0</v>
      </c>
      <c r="I137" s="509">
        <f>$I$134</f>
        <v>0</v>
      </c>
      <c r="J137" s="508"/>
    </row>
    <row r="138" spans="1:10" ht="21" customHeight="1">
      <c r="A138" s="507" t="s">
        <v>529</v>
      </c>
      <c r="B138" s="508" t="s">
        <v>533</v>
      </c>
      <c r="C138" s="508" t="s">
        <v>397</v>
      </c>
      <c r="D138" s="509">
        <v>0.13800000000000001</v>
      </c>
      <c r="E138" s="509">
        <v>0.13800000000000001</v>
      </c>
      <c r="F138" s="509">
        <v>0.13800000000000001</v>
      </c>
      <c r="G138" s="509">
        <v>0.13800000000000001</v>
      </c>
      <c r="H138" s="509">
        <v>0.13800000000000001</v>
      </c>
      <c r="I138" s="509">
        <f>'Turbinas CS'!G19</f>
        <v>0.13800000000000001</v>
      </c>
      <c r="J138" s="508"/>
    </row>
    <row r="139" spans="1:10" ht="21" customHeight="1">
      <c r="A139" s="507" t="s">
        <v>529</v>
      </c>
      <c r="B139" s="508" t="s">
        <v>534</v>
      </c>
      <c r="C139" s="508" t="s">
        <v>397</v>
      </c>
      <c r="D139" s="509">
        <v>2000</v>
      </c>
      <c r="E139" s="509">
        <v>2000</v>
      </c>
      <c r="F139" s="509">
        <v>2000</v>
      </c>
      <c r="G139" s="509">
        <v>2000</v>
      </c>
      <c r="H139" s="509">
        <v>2000</v>
      </c>
      <c r="I139" s="509">
        <f>'Turbinas CS'!I20</f>
        <v>2000</v>
      </c>
      <c r="J139" s="508"/>
    </row>
    <row r="140" spans="1:10" ht="21" customHeight="1">
      <c r="A140" s="507" t="s">
        <v>529</v>
      </c>
      <c r="B140" s="508" t="s">
        <v>535</v>
      </c>
      <c r="C140" s="508" t="s">
        <v>411</v>
      </c>
      <c r="D140" s="509">
        <f>$D$136*$D$137*$D$138/$D$139</f>
        <v>0</v>
      </c>
      <c r="E140" s="509">
        <f>$E$136*$E$137*$E$138/$E$139</f>
        <v>0</v>
      </c>
      <c r="F140" s="509">
        <f>$F$136*$F$137*$F$138/$F$139</f>
        <v>0</v>
      </c>
      <c r="G140" s="509">
        <f>$G$136*$G$137*$G$138/$G$139</f>
        <v>0</v>
      </c>
      <c r="H140" s="509">
        <f>$H$136*$H$137*$H$138/$H$139</f>
        <v>0</v>
      </c>
      <c r="I140" s="509">
        <f>$I$136*$I$137*$I$138/$I$139</f>
        <v>0</v>
      </c>
      <c r="J140" s="508"/>
    </row>
    <row r="141" spans="1:10" ht="21" customHeight="1">
      <c r="A141" s="507" t="s">
        <v>529</v>
      </c>
      <c r="B141" s="508" t="s">
        <v>510</v>
      </c>
      <c r="C141" s="508" t="s">
        <v>411</v>
      </c>
      <c r="D141" s="509">
        <f>1.01*$D$135</f>
        <v>1.01E-3</v>
      </c>
      <c r="E141" s="509">
        <f>1.01*$E$135</f>
        <v>8.0800000000000004E-3</v>
      </c>
      <c r="F141" s="509">
        <f>1.01*$F$135</f>
        <v>1.01E-4</v>
      </c>
      <c r="G141" s="509">
        <f>1.01*$G$135</f>
        <v>1.01E-2</v>
      </c>
      <c r="H141" s="509">
        <f>1.01*$H$135</f>
        <v>1.01E-2</v>
      </c>
      <c r="I141" s="509">
        <f>1.01*$I$135</f>
        <v>1.01E-2</v>
      </c>
      <c r="J141" s="508"/>
    </row>
    <row r="142" spans="1:10" ht="21" customHeight="1">
      <c r="A142" s="507" t="s">
        <v>529</v>
      </c>
      <c r="B142" s="508" t="s">
        <v>512</v>
      </c>
      <c r="C142" s="508" t="s">
        <v>411</v>
      </c>
      <c r="D142" s="509">
        <f>$D$137</f>
        <v>0</v>
      </c>
      <c r="E142" s="509">
        <f>$E$137</f>
        <v>0</v>
      </c>
      <c r="F142" s="509">
        <f>$F$137</f>
        <v>0</v>
      </c>
      <c r="G142" s="509">
        <f>$G$137</f>
        <v>0</v>
      </c>
      <c r="H142" s="509">
        <f>$H$137</f>
        <v>0</v>
      </c>
      <c r="I142" s="509">
        <f>$I$137</f>
        <v>0</v>
      </c>
      <c r="J142" s="508"/>
    </row>
    <row r="143" spans="1:10" ht="21" customHeight="1">
      <c r="A143" s="507" t="s">
        <v>529</v>
      </c>
      <c r="B143" s="508" t="s">
        <v>536</v>
      </c>
      <c r="C143" s="508" t="s">
        <v>397</v>
      </c>
      <c r="D143" s="509">
        <v>0.13800000000000001</v>
      </c>
      <c r="E143" s="509">
        <v>0.13800000000000001</v>
      </c>
      <c r="F143" s="509">
        <v>0.13800000000000001</v>
      </c>
      <c r="G143" s="509">
        <v>0.13800000000000001</v>
      </c>
      <c r="H143" s="509">
        <v>0.13800000000000001</v>
      </c>
      <c r="I143" s="509">
        <f>'Turbinas CS'!G28</f>
        <v>0.13800000000000001</v>
      </c>
      <c r="J143" s="508"/>
    </row>
    <row r="144" spans="1:10" ht="21" customHeight="1">
      <c r="A144" s="507" t="s">
        <v>529</v>
      </c>
      <c r="B144" s="508" t="s">
        <v>537</v>
      </c>
      <c r="C144" s="508" t="s">
        <v>397</v>
      </c>
      <c r="D144" s="509">
        <v>2000</v>
      </c>
      <c r="E144" s="509">
        <v>2000</v>
      </c>
      <c r="F144" s="509">
        <v>2000</v>
      </c>
      <c r="G144" s="509">
        <v>2000</v>
      </c>
      <c r="H144" s="509">
        <v>2000</v>
      </c>
      <c r="I144" s="509">
        <f>'Turbinas CS'!I29</f>
        <v>2000</v>
      </c>
      <c r="J144" s="508"/>
    </row>
    <row r="145" spans="1:10" ht="21" customHeight="1">
      <c r="A145" s="507" t="s">
        <v>529</v>
      </c>
      <c r="B145" s="508" t="s">
        <v>538</v>
      </c>
      <c r="C145" s="508" t="s">
        <v>411</v>
      </c>
      <c r="D145" s="509">
        <f>$D$141*$D$142*$D$143/$D$144</f>
        <v>0</v>
      </c>
      <c r="E145" s="509">
        <f>$E$141*$E$142*$E$143/$E$144</f>
        <v>0</v>
      </c>
      <c r="F145" s="509">
        <f>$F$141*$F$142*$F$143/$F$144</f>
        <v>0</v>
      </c>
      <c r="G145" s="509">
        <f>$G$141*$G$142*$G$143/$G$144</f>
        <v>0</v>
      </c>
      <c r="H145" s="509">
        <f>$H$141*$H$142*$H$143/$H$144</f>
        <v>0</v>
      </c>
      <c r="I145" s="509">
        <f>$I$141*$I$142*$I$143/$I$144</f>
        <v>0</v>
      </c>
      <c r="J145" s="508"/>
    </row>
    <row r="146" spans="1:10" ht="21" customHeight="1">
      <c r="A146" s="507" t="s">
        <v>529</v>
      </c>
      <c r="B146" s="508" t="s">
        <v>539</v>
      </c>
      <c r="C146" s="508" t="s">
        <v>397</v>
      </c>
      <c r="D146" s="509">
        <v>0.88</v>
      </c>
      <c r="E146" s="509">
        <v>0.88</v>
      </c>
      <c r="F146" s="509">
        <v>0.88</v>
      </c>
      <c r="G146" s="509">
        <v>0.88</v>
      </c>
      <c r="H146" s="509">
        <v>0.88</v>
      </c>
      <c r="I146" s="509">
        <f>'Turbinas CS'!C37</f>
        <v>0.88</v>
      </c>
      <c r="J146" s="508"/>
    </row>
    <row r="147" spans="1:10" ht="21" customHeight="1">
      <c r="A147" s="507" t="s">
        <v>529</v>
      </c>
      <c r="B147" s="508" t="s">
        <v>540</v>
      </c>
      <c r="C147" s="508" t="s">
        <v>411</v>
      </c>
      <c r="D147" s="509">
        <f>$D$137</f>
        <v>0</v>
      </c>
      <c r="E147" s="509">
        <f>$E$137</f>
        <v>0</v>
      </c>
      <c r="F147" s="509">
        <f>$F$137</f>
        <v>0</v>
      </c>
      <c r="G147" s="509">
        <f>$G$137</f>
        <v>0</v>
      </c>
      <c r="H147" s="509">
        <f>$H$137</f>
        <v>0</v>
      </c>
      <c r="I147" s="509">
        <f>$I$137</f>
        <v>0</v>
      </c>
      <c r="J147" s="508"/>
    </row>
    <row r="148" spans="1:10" ht="21" customHeight="1">
      <c r="A148" s="507" t="s">
        <v>529</v>
      </c>
      <c r="B148" s="508" t="s">
        <v>541</v>
      </c>
      <c r="C148" s="508" t="s">
        <v>397</v>
      </c>
      <c r="D148" s="509">
        <v>0.13800000000000001</v>
      </c>
      <c r="E148" s="509">
        <v>0.13800000000000001</v>
      </c>
      <c r="F148" s="509">
        <v>0.13800000000000001</v>
      </c>
      <c r="G148" s="509">
        <v>0.13800000000000001</v>
      </c>
      <c r="H148" s="509">
        <v>0.13800000000000001</v>
      </c>
      <c r="I148" s="509">
        <f>'Turbinas CS'!G37</f>
        <v>0.13800000000000001</v>
      </c>
      <c r="J148" s="508"/>
    </row>
    <row r="149" spans="1:10" ht="21" customHeight="1">
      <c r="A149" s="507" t="s">
        <v>529</v>
      </c>
      <c r="B149" s="508" t="s">
        <v>542</v>
      </c>
      <c r="C149" s="508" t="s">
        <v>397</v>
      </c>
      <c r="D149" s="509">
        <v>2000</v>
      </c>
      <c r="E149" s="509">
        <v>2000</v>
      </c>
      <c r="F149" s="509">
        <v>2000</v>
      </c>
      <c r="G149" s="509">
        <v>2000</v>
      </c>
      <c r="H149" s="509">
        <v>2000</v>
      </c>
      <c r="I149" s="509">
        <f>'Turbinas CS'!I38</f>
        <v>2000</v>
      </c>
      <c r="J149" s="508"/>
    </row>
    <row r="150" spans="1:10" ht="21" customHeight="1">
      <c r="A150" s="507" t="s">
        <v>529</v>
      </c>
      <c r="B150" s="508" t="s">
        <v>543</v>
      </c>
      <c r="C150" s="508" t="s">
        <v>411</v>
      </c>
      <c r="D150" s="509">
        <f>$D$146*$D$147*$D$148/$D$149</f>
        <v>0</v>
      </c>
      <c r="E150" s="509">
        <f>$E$146*$E$147*$E$148/$E$149</f>
        <v>0</v>
      </c>
      <c r="F150" s="509">
        <f>$F$146*$F$147*$F$148/$F$149</f>
        <v>0</v>
      </c>
      <c r="G150" s="509">
        <f>$G$146*$G$147*$G$148/$G$149</f>
        <v>0</v>
      </c>
      <c r="H150" s="509">
        <f>$H$146*$H$147*$H$148/$H$149</f>
        <v>0</v>
      </c>
      <c r="I150" s="509">
        <f>$I$146*$I$147*$I$148/$I$149</f>
        <v>0</v>
      </c>
      <c r="J150" s="508"/>
    </row>
    <row r="151" spans="1:10" ht="21" customHeight="1">
      <c r="A151" s="507" t="s">
        <v>529</v>
      </c>
      <c r="B151" s="508" t="s">
        <v>526</v>
      </c>
      <c r="C151" s="508" t="s">
        <v>397</v>
      </c>
      <c r="D151" s="509">
        <v>4.0999999999999999E-4</v>
      </c>
      <c r="E151" s="509">
        <v>4.0999999999999999E-4</v>
      </c>
      <c r="F151" s="509">
        <v>4.0999999999999999E-4</v>
      </c>
      <c r="G151" s="509">
        <v>4.0999999999999999E-4</v>
      </c>
      <c r="H151" s="509">
        <v>4.0999999999999999E-4</v>
      </c>
      <c r="I151" s="509">
        <f>'Turbinas CS'!C46</f>
        <v>4.0999999999999999E-4</v>
      </c>
      <c r="J151" s="508"/>
    </row>
    <row r="152" spans="1:10" ht="21" customHeight="1">
      <c r="A152" s="507" t="s">
        <v>529</v>
      </c>
      <c r="B152" s="508" t="s">
        <v>544</v>
      </c>
      <c r="C152" s="508" t="s">
        <v>411</v>
      </c>
      <c r="D152" s="509">
        <f>$D$137</f>
        <v>0</v>
      </c>
      <c r="E152" s="509">
        <f>$E$137</f>
        <v>0</v>
      </c>
      <c r="F152" s="509">
        <f>$F$137</f>
        <v>0</v>
      </c>
      <c r="G152" s="509">
        <f>$G$137</f>
        <v>0</v>
      </c>
      <c r="H152" s="509">
        <f>$H$137</f>
        <v>0</v>
      </c>
      <c r="I152" s="509">
        <f>$I$137</f>
        <v>0</v>
      </c>
      <c r="J152" s="508"/>
    </row>
    <row r="153" spans="1:10" ht="21" customHeight="1">
      <c r="A153" s="507" t="s">
        <v>529</v>
      </c>
      <c r="B153" s="508" t="s">
        <v>545</v>
      </c>
      <c r="C153" s="508" t="s">
        <v>397</v>
      </c>
      <c r="D153" s="509">
        <v>0.13800000000000001</v>
      </c>
      <c r="E153" s="509">
        <v>0.13800000000000001</v>
      </c>
      <c r="F153" s="509">
        <v>0.13800000000000001</v>
      </c>
      <c r="G153" s="509">
        <v>0.13800000000000001</v>
      </c>
      <c r="H153" s="509">
        <v>0.13800000000000001</v>
      </c>
      <c r="I153" s="509">
        <f>'Turbinas CS'!G46</f>
        <v>0.13800000000000001</v>
      </c>
      <c r="J153" s="508"/>
    </row>
    <row r="154" spans="1:10" ht="21" customHeight="1">
      <c r="A154" s="507" t="s">
        <v>529</v>
      </c>
      <c r="B154" s="508" t="s">
        <v>546</v>
      </c>
      <c r="C154" s="508" t="s">
        <v>397</v>
      </c>
      <c r="D154" s="509">
        <v>2000</v>
      </c>
      <c r="E154" s="509">
        <v>2000</v>
      </c>
      <c r="F154" s="509">
        <v>2000</v>
      </c>
      <c r="G154" s="509">
        <v>2000</v>
      </c>
      <c r="H154" s="509">
        <v>2000</v>
      </c>
      <c r="I154" s="509">
        <f>'Turbinas CS'!I47</f>
        <v>2000</v>
      </c>
      <c r="J154" s="508"/>
    </row>
    <row r="155" spans="1:10" ht="21" customHeight="1">
      <c r="A155" s="507" t="s">
        <v>529</v>
      </c>
      <c r="B155" s="508" t="s">
        <v>547</v>
      </c>
      <c r="C155" s="508" t="s">
        <v>411</v>
      </c>
      <c r="D155" s="509">
        <f>$D$151*$D$152*$D$153/$D$154</f>
        <v>0</v>
      </c>
      <c r="E155" s="509">
        <f>$E$151*$E$152*$E$153/$E$154</f>
        <v>0</v>
      </c>
      <c r="F155" s="509">
        <f>$F$151*$F$152*$F$153/$F$154</f>
        <v>0</v>
      </c>
      <c r="G155" s="509">
        <f>$G$151*$G$152*$G$153/$G$154</f>
        <v>0</v>
      </c>
      <c r="H155" s="509">
        <f>$H$151*$H$152*$H$153/$H$154</f>
        <v>0</v>
      </c>
      <c r="I155" s="509">
        <f>$I$151*$I$152*$I$153/$I$154</f>
        <v>0</v>
      </c>
      <c r="J155" s="508"/>
    </row>
    <row r="156" spans="1:10" ht="21" customHeight="1">
      <c r="A156" s="507" t="s">
        <v>529</v>
      </c>
      <c r="B156" s="508" t="s">
        <v>548</v>
      </c>
      <c r="C156" s="508" t="s">
        <v>397</v>
      </c>
      <c r="D156" s="509">
        <v>3.3E-3</v>
      </c>
      <c r="E156" s="509">
        <v>3.3E-3</v>
      </c>
      <c r="F156" s="509">
        <v>3.3E-3</v>
      </c>
      <c r="G156" s="509">
        <v>3.3E-3</v>
      </c>
      <c r="H156" s="509">
        <v>3.3E-3</v>
      </c>
      <c r="I156" s="509">
        <f>'Turbinas CS'!C55</f>
        <v>3.3E-3</v>
      </c>
      <c r="J156" s="508"/>
    </row>
    <row r="157" spans="1:10" ht="21" customHeight="1">
      <c r="A157" s="507" t="s">
        <v>529</v>
      </c>
      <c r="B157" s="508" t="s">
        <v>549</v>
      </c>
      <c r="C157" s="508" t="s">
        <v>411</v>
      </c>
      <c r="D157" s="509">
        <f>$D$137</f>
        <v>0</v>
      </c>
      <c r="E157" s="509">
        <f>$E$137</f>
        <v>0</v>
      </c>
      <c r="F157" s="509">
        <f>$F$137</f>
        <v>0</v>
      </c>
      <c r="G157" s="509">
        <f>$G$137</f>
        <v>0</v>
      </c>
      <c r="H157" s="509">
        <f>$H$137</f>
        <v>0</v>
      </c>
      <c r="I157" s="509">
        <f>$I$137</f>
        <v>0</v>
      </c>
      <c r="J157" s="508"/>
    </row>
    <row r="158" spans="1:10" ht="21" customHeight="1">
      <c r="A158" s="507" t="s">
        <v>529</v>
      </c>
      <c r="B158" s="508" t="s">
        <v>550</v>
      </c>
      <c r="C158" s="508" t="s">
        <v>397</v>
      </c>
      <c r="D158" s="509">
        <v>0.13800000000000001</v>
      </c>
      <c r="E158" s="509">
        <v>0.13800000000000001</v>
      </c>
      <c r="F158" s="509">
        <v>0.13800000000000001</v>
      </c>
      <c r="G158" s="509">
        <v>0.13800000000000001</v>
      </c>
      <c r="H158" s="509">
        <v>0.13800000000000001</v>
      </c>
      <c r="I158" s="509">
        <f>'Turbinas CS'!G55</f>
        <v>0.13800000000000001</v>
      </c>
      <c r="J158" s="508"/>
    </row>
    <row r="159" spans="1:10" ht="21" customHeight="1">
      <c r="A159" s="507" t="s">
        <v>529</v>
      </c>
      <c r="B159" s="508" t="s">
        <v>551</v>
      </c>
      <c r="C159" s="508" t="s">
        <v>397</v>
      </c>
      <c r="D159" s="509">
        <v>2000</v>
      </c>
      <c r="E159" s="509">
        <v>2000</v>
      </c>
      <c r="F159" s="509">
        <v>2000</v>
      </c>
      <c r="G159" s="509">
        <v>2000</v>
      </c>
      <c r="H159" s="509">
        <v>2000</v>
      </c>
      <c r="I159" s="509">
        <f>'Turbinas CS'!I56</f>
        <v>2000</v>
      </c>
      <c r="J159" s="508"/>
    </row>
    <row r="160" spans="1:10" ht="21" customHeight="1">
      <c r="A160" s="507" t="s">
        <v>529</v>
      </c>
      <c r="B160" s="508" t="s">
        <v>552</v>
      </c>
      <c r="C160" s="508" t="s">
        <v>411</v>
      </c>
      <c r="D160" s="509">
        <f>$D$156*$D$157*$D$158/$D$159</f>
        <v>0</v>
      </c>
      <c r="E160" s="509">
        <f>$E$156*$E$157*$E$158/$E$159</f>
        <v>0</v>
      </c>
      <c r="F160" s="509">
        <f>$F$156*$F$157*$F$158/$F$159</f>
        <v>0</v>
      </c>
      <c r="G160" s="509">
        <f>$G$156*$G$157*$G$158/$G$159</f>
        <v>0</v>
      </c>
      <c r="H160" s="509">
        <f>$H$156*$H$157*$H$158/$H$159</f>
        <v>0</v>
      </c>
      <c r="I160" s="509">
        <f>$I$156*$I$157*$I$158/$I$159</f>
        <v>0</v>
      </c>
      <c r="J160" s="508"/>
    </row>
    <row r="161" spans="1:10" ht="21" customHeight="1">
      <c r="A161" s="507" t="s">
        <v>529</v>
      </c>
      <c r="B161" s="508" t="s">
        <v>553</v>
      </c>
      <c r="C161" s="508" t="s">
        <v>397</v>
      </c>
      <c r="D161" s="509">
        <v>1.4E-5</v>
      </c>
      <c r="E161" s="509">
        <v>1.4E-5</v>
      </c>
      <c r="F161" s="509">
        <v>1.4E-5</v>
      </c>
      <c r="G161" s="509">
        <v>1.4E-5</v>
      </c>
      <c r="H161" s="509">
        <v>1.4E-5</v>
      </c>
      <c r="I161" s="509">
        <f>'Turbinas CS'!C64</f>
        <v>1.4E-5</v>
      </c>
      <c r="J161" s="508"/>
    </row>
    <row r="162" spans="1:10" ht="21" customHeight="1">
      <c r="A162" s="507" t="s">
        <v>529</v>
      </c>
      <c r="B162" s="508" t="s">
        <v>554</v>
      </c>
      <c r="C162" s="508" t="s">
        <v>411</v>
      </c>
      <c r="D162" s="509">
        <f>$D$137</f>
        <v>0</v>
      </c>
      <c r="E162" s="509">
        <f>$E$137</f>
        <v>0</v>
      </c>
      <c r="F162" s="509">
        <f>$F$137</f>
        <v>0</v>
      </c>
      <c r="G162" s="509">
        <f>$G$137</f>
        <v>0</v>
      </c>
      <c r="H162" s="509">
        <f>$H$137</f>
        <v>0</v>
      </c>
      <c r="I162" s="509">
        <f>$I$137</f>
        <v>0</v>
      </c>
      <c r="J162" s="508"/>
    </row>
    <row r="163" spans="1:10" ht="21" customHeight="1">
      <c r="A163" s="507" t="s">
        <v>529</v>
      </c>
      <c r="B163" s="508" t="s">
        <v>555</v>
      </c>
      <c r="C163" s="508" t="s">
        <v>397</v>
      </c>
      <c r="D163" s="509">
        <v>0.13800000000000001</v>
      </c>
      <c r="E163" s="509">
        <v>0.13800000000000001</v>
      </c>
      <c r="F163" s="509">
        <v>0.13800000000000001</v>
      </c>
      <c r="G163" s="509">
        <v>0.13800000000000001</v>
      </c>
      <c r="H163" s="509">
        <v>0.13800000000000001</v>
      </c>
      <c r="I163" s="509">
        <f>'Turbinas CS'!G64</f>
        <v>0.13800000000000001</v>
      </c>
      <c r="J163" s="508"/>
    </row>
    <row r="164" spans="1:10" ht="21" customHeight="1">
      <c r="A164" s="507" t="s">
        <v>529</v>
      </c>
      <c r="B164" s="508" t="s">
        <v>556</v>
      </c>
      <c r="C164" s="508" t="s">
        <v>397</v>
      </c>
      <c r="D164" s="509">
        <v>2000</v>
      </c>
      <c r="E164" s="509">
        <v>2000</v>
      </c>
      <c r="F164" s="509">
        <v>2000</v>
      </c>
      <c r="G164" s="509">
        <v>2000</v>
      </c>
      <c r="H164" s="509">
        <v>2000</v>
      </c>
      <c r="I164" s="509">
        <f>'Turbinas CS'!I65</f>
        <v>2000</v>
      </c>
      <c r="J164" s="508"/>
    </row>
    <row r="165" spans="1:10" ht="21" customHeight="1">
      <c r="A165" s="507" t="s">
        <v>529</v>
      </c>
      <c r="B165" s="508" t="s">
        <v>557</v>
      </c>
      <c r="C165" s="508" t="s">
        <v>411</v>
      </c>
      <c r="D165" s="509">
        <f>$D$161*$D$162*$D$163/$D$164</f>
        <v>0</v>
      </c>
      <c r="E165" s="509">
        <f>$E$161*$E$162*$E$163/$E$164</f>
        <v>0</v>
      </c>
      <c r="F165" s="509">
        <f>$F$161*$F$162*$F$163/$F$164</f>
        <v>0</v>
      </c>
      <c r="G165" s="509">
        <f>$G$161*$G$162*$G$163/$G$164</f>
        <v>0</v>
      </c>
      <c r="H165" s="509">
        <f>$H$161*$H$162*$H$163/$H$164</f>
        <v>0</v>
      </c>
      <c r="I165" s="509">
        <f>$I$161*$I$162*$I$163/$I$164</f>
        <v>0</v>
      </c>
      <c r="J165" s="508"/>
    </row>
    <row r="166" spans="1:10" ht="21" customHeight="1">
      <c r="A166" s="507" t="s">
        <v>529</v>
      </c>
      <c r="B166" s="508" t="s">
        <v>558</v>
      </c>
      <c r="C166" s="508" t="s">
        <v>411</v>
      </c>
      <c r="D166" s="509">
        <f>$D$133</f>
        <v>163.61174348</v>
      </c>
      <c r="E166" s="509">
        <f>$E$133</f>
        <v>163.61174348</v>
      </c>
      <c r="F166" s="509">
        <f>$F$133</f>
        <v>163.61174348</v>
      </c>
      <c r="G166" s="509">
        <f>$G$133</f>
        <v>163.61174348</v>
      </c>
      <c r="H166" s="509">
        <f>$H$133</f>
        <v>163.61174348</v>
      </c>
      <c r="I166" s="509">
        <f>$I$133</f>
        <v>163.61174348</v>
      </c>
      <c r="J166" s="508"/>
    </row>
    <row r="167" spans="1:10" ht="21" customHeight="1">
      <c r="A167" s="507" t="s">
        <v>529</v>
      </c>
      <c r="B167" s="508" t="s">
        <v>559</v>
      </c>
      <c r="C167" s="508" t="s">
        <v>411</v>
      </c>
      <c r="D167" s="509">
        <f>$D$137</f>
        <v>0</v>
      </c>
      <c r="E167" s="509">
        <f>$E$137</f>
        <v>0</v>
      </c>
      <c r="F167" s="509">
        <f>$F$137</f>
        <v>0</v>
      </c>
      <c r="G167" s="509">
        <f>$G$137</f>
        <v>0</v>
      </c>
      <c r="H167" s="509">
        <f>$H$137</f>
        <v>0</v>
      </c>
      <c r="I167" s="509">
        <f>$I$137</f>
        <v>0</v>
      </c>
      <c r="J167" s="508"/>
    </row>
    <row r="168" spans="1:10" ht="21" customHeight="1">
      <c r="A168" s="507" t="s">
        <v>529</v>
      </c>
      <c r="B168" s="508" t="s">
        <v>560</v>
      </c>
      <c r="C168" s="508" t="s">
        <v>397</v>
      </c>
      <c r="D168" s="509">
        <v>0.13800000000000001</v>
      </c>
      <c r="E168" s="509">
        <v>0.13800000000000001</v>
      </c>
      <c r="F168" s="509">
        <v>0.13800000000000001</v>
      </c>
      <c r="G168" s="509">
        <v>0.13800000000000001</v>
      </c>
      <c r="H168" s="509">
        <v>0.13800000000000001</v>
      </c>
      <c r="I168" s="509">
        <f>'Turbinas CS'!G73</f>
        <v>0.13800000000000001</v>
      </c>
      <c r="J168" s="508"/>
    </row>
    <row r="169" spans="1:10" ht="21" customHeight="1">
      <c r="A169" s="507" t="s">
        <v>529</v>
      </c>
      <c r="B169" s="508" t="s">
        <v>561</v>
      </c>
      <c r="C169" s="508" t="s">
        <v>397</v>
      </c>
      <c r="D169" s="509">
        <v>2000</v>
      </c>
      <c r="E169" s="509">
        <v>2000</v>
      </c>
      <c r="F169" s="509">
        <v>2000</v>
      </c>
      <c r="G169" s="509">
        <v>2000</v>
      </c>
      <c r="H169" s="509">
        <v>2000</v>
      </c>
      <c r="I169" s="509">
        <f>'Turbinas CS'!I74</f>
        <v>2000</v>
      </c>
      <c r="J169" s="508"/>
    </row>
    <row r="170" spans="1:10" ht="21" customHeight="1">
      <c r="A170" s="507" t="s">
        <v>529</v>
      </c>
      <c r="B170" s="508" t="s">
        <v>562</v>
      </c>
      <c r="C170" s="508" t="s">
        <v>411</v>
      </c>
      <c r="D170" s="509">
        <f>$D$166*$D$167*$D$168/$D$169</f>
        <v>0</v>
      </c>
      <c r="E170" s="509">
        <f>$E$166*$E$167*$E$168/$E$169</f>
        <v>0</v>
      </c>
      <c r="F170" s="509">
        <f>$F$166*$F$167*$F$168/$F$169</f>
        <v>0</v>
      </c>
      <c r="G170" s="509">
        <f>$G$166*$G$167*$G$168/$G$169</f>
        <v>0</v>
      </c>
      <c r="H170" s="509">
        <f>$H$166*$H$167*$H$168/$H$169</f>
        <v>0</v>
      </c>
      <c r="I170" s="509">
        <f>$I$166*$I$167*$I$168/$I$169</f>
        <v>0</v>
      </c>
      <c r="J170" s="508"/>
    </row>
    <row r="171" spans="1:10" ht="21" customHeight="1">
      <c r="A171" s="510" t="s">
        <v>563</v>
      </c>
      <c r="B171" s="506"/>
      <c r="C171" s="506"/>
      <c r="D171" s="511"/>
      <c r="E171" s="511"/>
      <c r="F171" s="511"/>
      <c r="G171" s="511"/>
      <c r="H171" s="511"/>
      <c r="I171" s="512"/>
      <c r="J171" s="506"/>
    </row>
    <row r="172" spans="1:10" ht="21" customHeight="1">
      <c r="A172" s="507" t="s">
        <v>563</v>
      </c>
      <c r="B172" s="508" t="s">
        <v>464</v>
      </c>
      <c r="C172" s="508" t="s">
        <v>411</v>
      </c>
      <c r="D172" s="509">
        <f>$D$92+$D$93</f>
        <v>0</v>
      </c>
      <c r="E172" s="509">
        <f>$E$92+$E$93</f>
        <v>0</v>
      </c>
      <c r="F172" s="509">
        <f>$F$92+$F$93</f>
        <v>0</v>
      </c>
      <c r="G172" s="509">
        <f>$G$92+$G$93</f>
        <v>0</v>
      </c>
      <c r="H172" s="509">
        <f>$H$92+$H$93</f>
        <v>0</v>
      </c>
      <c r="I172" s="509">
        <f>$I$92+$I$93</f>
        <v>0</v>
      </c>
      <c r="J172" s="508" t="s">
        <v>107</v>
      </c>
    </row>
    <row r="173" spans="1:10" ht="21" customHeight="1">
      <c r="A173" s="507" t="s">
        <v>563</v>
      </c>
      <c r="B173" s="508" t="s">
        <v>469</v>
      </c>
      <c r="C173" s="508" t="s">
        <v>411</v>
      </c>
      <c r="D173" s="509">
        <f>($D$94+$D$95)/2</f>
        <v>0</v>
      </c>
      <c r="E173" s="509">
        <f>($E$94+$E$95)/2</f>
        <v>0</v>
      </c>
      <c r="F173" s="509">
        <f>($F$94+$F$95)/2</f>
        <v>0</v>
      </c>
      <c r="G173" s="509">
        <f>($G$94+$G$95)/2</f>
        <v>0</v>
      </c>
      <c r="H173" s="509">
        <f>($H$94+$H$95)/2</f>
        <v>0</v>
      </c>
      <c r="I173" s="509">
        <f>($I$94+$I$95)/2</f>
        <v>0</v>
      </c>
      <c r="J173" s="508" t="s">
        <v>84</v>
      </c>
    </row>
    <row r="174" spans="1:10" ht="21" customHeight="1">
      <c r="A174" s="507" t="s">
        <v>563</v>
      </c>
      <c r="B174" s="508" t="s">
        <v>564</v>
      </c>
      <c r="C174" s="508" t="s">
        <v>411</v>
      </c>
      <c r="D174" s="509">
        <f>(9.19*$D$173)+3.22</f>
        <v>3.22</v>
      </c>
      <c r="E174" s="509">
        <f>(9.19*$E$173)+3.22</f>
        <v>3.22</v>
      </c>
      <c r="F174" s="509">
        <f>(9.19*$F$173)+3.22</f>
        <v>3.22</v>
      </c>
      <c r="G174" s="509">
        <f>(9.19*$G$173)+3.22</f>
        <v>3.22</v>
      </c>
      <c r="H174" s="509">
        <f>(9.19*$H$173)+3.22</f>
        <v>3.22</v>
      </c>
      <c r="I174" s="509">
        <f>(9.19*$I$173)+3.22</f>
        <v>3.22</v>
      </c>
      <c r="J174" s="508"/>
    </row>
    <row r="175" spans="1:10" ht="21" customHeight="1">
      <c r="A175" s="507" t="s">
        <v>563</v>
      </c>
      <c r="B175" s="508" t="s">
        <v>565</v>
      </c>
      <c r="C175" s="508" t="s">
        <v>411</v>
      </c>
      <c r="D175" s="509">
        <f>$D$172</f>
        <v>0</v>
      </c>
      <c r="E175" s="509">
        <f>$E$172</f>
        <v>0</v>
      </c>
      <c r="F175" s="509">
        <f>$F$172</f>
        <v>0</v>
      </c>
      <c r="G175" s="509">
        <f>$G$172</f>
        <v>0</v>
      </c>
      <c r="H175" s="509">
        <f>$H$172</f>
        <v>0</v>
      </c>
      <c r="I175" s="509">
        <f>$I$172</f>
        <v>0</v>
      </c>
      <c r="J175" s="508"/>
    </row>
    <row r="176" spans="1:10" ht="21" customHeight="1">
      <c r="A176" s="507" t="s">
        <v>563</v>
      </c>
      <c r="B176" s="508" t="s">
        <v>566</v>
      </c>
      <c r="C176" s="508" t="s">
        <v>397</v>
      </c>
      <c r="D176" s="509">
        <v>1000</v>
      </c>
      <c r="E176" s="509">
        <v>1000</v>
      </c>
      <c r="F176" s="509">
        <v>1000</v>
      </c>
      <c r="G176" s="509">
        <v>1000</v>
      </c>
      <c r="H176" s="509">
        <v>1000</v>
      </c>
      <c r="I176" s="509">
        <f>'Calculos CS 3 y 4'!B19</f>
        <v>1000</v>
      </c>
      <c r="J176" s="508"/>
    </row>
    <row r="177" spans="1:10" ht="21" customHeight="1">
      <c r="A177" s="507" t="s">
        <v>563</v>
      </c>
      <c r="B177" s="508" t="s">
        <v>567</v>
      </c>
      <c r="C177" s="508" t="s">
        <v>397</v>
      </c>
      <c r="D177" s="509">
        <v>2000</v>
      </c>
      <c r="E177" s="509">
        <v>2000</v>
      </c>
      <c r="F177" s="509">
        <v>2000</v>
      </c>
      <c r="G177" s="509">
        <v>2000</v>
      </c>
      <c r="H177" s="509">
        <v>2000</v>
      </c>
      <c r="I177" s="509">
        <f>'Calculos CS 3 y 4'!F19</f>
        <v>2000</v>
      </c>
      <c r="J177" s="508"/>
    </row>
    <row r="178" spans="1:10" ht="21" customHeight="1">
      <c r="A178" s="507" t="s">
        <v>563</v>
      </c>
      <c r="B178" s="508" t="s">
        <v>568</v>
      </c>
      <c r="C178" s="508" t="s">
        <v>411</v>
      </c>
      <c r="D178" s="509">
        <f>(($D$174/$D$176)*$D$175)/$D$177</f>
        <v>0</v>
      </c>
      <c r="E178" s="509">
        <f>(($E$174/$E$176)*$E$175)/$E$177</f>
        <v>0</v>
      </c>
      <c r="F178" s="509">
        <f>(($F$174/$F$176)*$F$175)/$F$177</f>
        <v>0</v>
      </c>
      <c r="G178" s="509">
        <f>(($G$174/$G$176)*$G$175)/$G$177</f>
        <v>0</v>
      </c>
      <c r="H178" s="509">
        <f>(($H$174/$H$176)*$H$175)/$H$177</f>
        <v>0</v>
      </c>
      <c r="I178" s="509">
        <f>(($I$174/$I$176)*$I$175)/$I$177</f>
        <v>0</v>
      </c>
      <c r="J178" s="508"/>
    </row>
    <row r="179" spans="1:10" ht="21" customHeight="1">
      <c r="A179" s="507" t="s">
        <v>563</v>
      </c>
      <c r="B179" s="508" t="s">
        <v>505</v>
      </c>
      <c r="C179" s="508" t="s">
        <v>411</v>
      </c>
      <c r="D179" s="509">
        <f>(157+5.7)*$D$173</f>
        <v>0</v>
      </c>
      <c r="E179" s="509">
        <f>(157+5.7)*$E$173</f>
        <v>0</v>
      </c>
      <c r="F179" s="509">
        <f>(157+5.7)*$F$173</f>
        <v>0</v>
      </c>
      <c r="G179" s="509">
        <f>(157+5.7)*$G$173</f>
        <v>0</v>
      </c>
      <c r="H179" s="509">
        <f>(157+5.7)*$H$173</f>
        <v>0</v>
      </c>
      <c r="I179" s="509">
        <f>(157+5.7)*$I$173</f>
        <v>0</v>
      </c>
      <c r="J179" s="508"/>
    </row>
    <row r="180" spans="1:10" ht="21" customHeight="1">
      <c r="A180" s="507" t="s">
        <v>563</v>
      </c>
      <c r="B180" s="508" t="s">
        <v>507</v>
      </c>
      <c r="C180" s="508" t="s">
        <v>411</v>
      </c>
      <c r="D180" s="509">
        <f>$D$172</f>
        <v>0</v>
      </c>
      <c r="E180" s="509">
        <f>$E$172</f>
        <v>0</v>
      </c>
      <c r="F180" s="509">
        <f>$F$172</f>
        <v>0</v>
      </c>
      <c r="G180" s="509">
        <f>$G$172</f>
        <v>0</v>
      </c>
      <c r="H180" s="509">
        <f>$H$172</f>
        <v>0</v>
      </c>
      <c r="I180" s="509">
        <f>$I$172</f>
        <v>0</v>
      </c>
      <c r="J180" s="508"/>
    </row>
    <row r="181" spans="1:10" ht="21" customHeight="1">
      <c r="A181" s="507" t="s">
        <v>563</v>
      </c>
      <c r="B181" s="508" t="s">
        <v>509</v>
      </c>
      <c r="C181" s="508" t="s">
        <v>397</v>
      </c>
      <c r="D181" s="509">
        <v>1000</v>
      </c>
      <c r="E181" s="509">
        <v>1000</v>
      </c>
      <c r="F181" s="509">
        <v>1000</v>
      </c>
      <c r="G181" s="509">
        <v>1000</v>
      </c>
      <c r="H181" s="509">
        <v>1000</v>
      </c>
      <c r="I181" s="509">
        <f>'Calculos CS 3 y 4'!B28</f>
        <v>1000</v>
      </c>
      <c r="J181" s="508"/>
    </row>
    <row r="182" spans="1:10" ht="21" customHeight="1">
      <c r="A182" s="507" t="s">
        <v>563</v>
      </c>
      <c r="B182" s="508" t="s">
        <v>569</v>
      </c>
      <c r="C182" s="508" t="s">
        <v>397</v>
      </c>
      <c r="D182" s="509">
        <v>2000</v>
      </c>
      <c r="E182" s="509">
        <v>2000</v>
      </c>
      <c r="F182" s="509">
        <v>2000</v>
      </c>
      <c r="G182" s="509">
        <v>2000</v>
      </c>
      <c r="H182" s="509">
        <v>2000</v>
      </c>
      <c r="I182" s="509">
        <f>'Calculos CS 3 y 4'!F28</f>
        <v>2000</v>
      </c>
      <c r="J182" s="508"/>
    </row>
    <row r="183" spans="1:10" ht="21" customHeight="1">
      <c r="A183" s="507" t="s">
        <v>563</v>
      </c>
      <c r="B183" s="508" t="s">
        <v>570</v>
      </c>
      <c r="C183" s="508" t="s">
        <v>411</v>
      </c>
      <c r="D183" s="509">
        <f>(($D$179/$D$181)*$D$180)/$D$182</f>
        <v>0</v>
      </c>
      <c r="E183" s="509">
        <f>(($E$179/$E$181)*$E$180)/$E$182</f>
        <v>0</v>
      </c>
      <c r="F183" s="509">
        <f>(($F$179/$F$181)*$F$180)/$F$182</f>
        <v>0</v>
      </c>
      <c r="G183" s="509">
        <f>(($G$179/$G$181)*$G$180)/$G$182</f>
        <v>0</v>
      </c>
      <c r="H183" s="509">
        <f>(($H$179/$H$181)*$H$180)/$H$182</f>
        <v>0</v>
      </c>
      <c r="I183" s="509">
        <f>(($I$179/$I$181)*$I$180)/$I$182</f>
        <v>0</v>
      </c>
      <c r="J183" s="508"/>
    </row>
    <row r="184" spans="1:10" ht="21" customHeight="1">
      <c r="A184" s="507" t="s">
        <v>563</v>
      </c>
      <c r="B184" s="508" t="s">
        <v>571</v>
      </c>
      <c r="C184" s="508" t="s">
        <v>397</v>
      </c>
      <c r="D184" s="509">
        <v>32</v>
      </c>
      <c r="E184" s="509">
        <v>32</v>
      </c>
      <c r="F184" s="509">
        <v>32</v>
      </c>
      <c r="G184" s="509">
        <v>32</v>
      </c>
      <c r="H184" s="509">
        <v>32</v>
      </c>
      <c r="I184" s="509">
        <f>'Calculos CS 3 y 4'!B36</f>
        <v>32</v>
      </c>
      <c r="J184" s="508"/>
    </row>
    <row r="185" spans="1:10" ht="21" customHeight="1">
      <c r="A185" s="507" t="s">
        <v>563</v>
      </c>
      <c r="B185" s="508" t="s">
        <v>572</v>
      </c>
      <c r="C185" s="508" t="s">
        <v>411</v>
      </c>
      <c r="D185" s="509">
        <f>$D$172</f>
        <v>0</v>
      </c>
      <c r="E185" s="509">
        <f>$E$172</f>
        <v>0</v>
      </c>
      <c r="F185" s="509">
        <f>$F$172</f>
        <v>0</v>
      </c>
      <c r="G185" s="509">
        <f>$G$172</f>
        <v>0</v>
      </c>
      <c r="H185" s="509">
        <f>$H$172</f>
        <v>0</v>
      </c>
      <c r="I185" s="509">
        <f>$I$172</f>
        <v>0</v>
      </c>
      <c r="J185" s="508"/>
    </row>
    <row r="186" spans="1:10" ht="21" customHeight="1">
      <c r="A186" s="507" t="s">
        <v>563</v>
      </c>
      <c r="B186" s="508" t="s">
        <v>573</v>
      </c>
      <c r="C186" s="508" t="s">
        <v>397</v>
      </c>
      <c r="D186" s="509">
        <v>1000</v>
      </c>
      <c r="E186" s="509">
        <v>1000</v>
      </c>
      <c r="F186" s="509">
        <v>1000</v>
      </c>
      <c r="G186" s="509">
        <v>1000</v>
      </c>
      <c r="H186" s="509">
        <v>1000</v>
      </c>
      <c r="I186" s="509">
        <f>'Calculos CS 3 y 4'!B37</f>
        <v>1000</v>
      </c>
      <c r="J186" s="508"/>
    </row>
    <row r="187" spans="1:10" ht="21" customHeight="1">
      <c r="A187" s="507" t="s">
        <v>563</v>
      </c>
      <c r="B187" s="508" t="s">
        <v>574</v>
      </c>
      <c r="C187" s="508" t="s">
        <v>397</v>
      </c>
      <c r="D187" s="509">
        <v>2000</v>
      </c>
      <c r="E187" s="509">
        <v>2000</v>
      </c>
      <c r="F187" s="509">
        <v>2000</v>
      </c>
      <c r="G187" s="509">
        <v>2000</v>
      </c>
      <c r="H187" s="509">
        <v>2000</v>
      </c>
      <c r="I187" s="509">
        <f>'Calculos CS 3 y 4'!F37</f>
        <v>2000</v>
      </c>
      <c r="J187" s="508"/>
    </row>
    <row r="188" spans="1:10" ht="21" customHeight="1">
      <c r="A188" s="507" t="s">
        <v>563</v>
      </c>
      <c r="B188" s="508" t="s">
        <v>575</v>
      </c>
      <c r="C188" s="508" t="s">
        <v>411</v>
      </c>
      <c r="D188" s="509">
        <f>(($D$184/$D$186)*$D$185)/$D$187</f>
        <v>0</v>
      </c>
      <c r="E188" s="509">
        <f>(($E$184/$E$186)*$E$185)/$E$187</f>
        <v>0</v>
      </c>
      <c r="F188" s="509">
        <f>(($F$184/$F$186)*$F$185)/$F$187</f>
        <v>0</v>
      </c>
      <c r="G188" s="509">
        <f>(($G$184/$G$186)*$G$185)/$G$187</f>
        <v>0</v>
      </c>
      <c r="H188" s="509">
        <f>(($H$184/$H$186)*$H$185)/$H$187</f>
        <v>0</v>
      </c>
      <c r="I188" s="509">
        <f>(($I$184/$I$186)*$I$185)/$I$187</f>
        <v>0</v>
      </c>
      <c r="J188" s="508"/>
    </row>
    <row r="189" spans="1:10" ht="21" customHeight="1">
      <c r="A189" s="507" t="s">
        <v>563</v>
      </c>
      <c r="B189" s="508" t="s">
        <v>576</v>
      </c>
      <c r="C189" s="508" t="s">
        <v>397</v>
      </c>
      <c r="D189" s="509">
        <v>0.76</v>
      </c>
      <c r="E189" s="509">
        <v>0.76</v>
      </c>
      <c r="F189" s="509">
        <v>0.76</v>
      </c>
      <c r="G189" s="509">
        <v>0.76</v>
      </c>
      <c r="H189" s="509">
        <v>0.76</v>
      </c>
      <c r="I189" s="509">
        <f>'Calculos CS 3 y 4'!B51</f>
        <v>0.76</v>
      </c>
      <c r="J189" s="508"/>
    </row>
    <row r="190" spans="1:10" ht="21" customHeight="1">
      <c r="A190" s="507" t="s">
        <v>563</v>
      </c>
      <c r="B190" s="508" t="s">
        <v>577</v>
      </c>
      <c r="C190" s="508" t="s">
        <v>411</v>
      </c>
      <c r="D190" s="509">
        <f>$D$172</f>
        <v>0</v>
      </c>
      <c r="E190" s="509">
        <f>$E$172</f>
        <v>0</v>
      </c>
      <c r="F190" s="509">
        <f>$F$172</f>
        <v>0</v>
      </c>
      <c r="G190" s="509">
        <f>$G$172</f>
        <v>0</v>
      </c>
      <c r="H190" s="509">
        <f>$H$172</f>
        <v>0</v>
      </c>
      <c r="I190" s="509">
        <f>$I$172</f>
        <v>0</v>
      </c>
      <c r="J190" s="508"/>
    </row>
    <row r="191" spans="1:10" ht="21" customHeight="1">
      <c r="A191" s="507" t="s">
        <v>563</v>
      </c>
      <c r="B191" s="508" t="s">
        <v>578</v>
      </c>
      <c r="C191" s="508" t="s">
        <v>397</v>
      </c>
      <c r="D191" s="509">
        <v>1000</v>
      </c>
      <c r="E191" s="509">
        <v>1000</v>
      </c>
      <c r="F191" s="509">
        <v>1000</v>
      </c>
      <c r="G191" s="509">
        <v>1000</v>
      </c>
      <c r="H191" s="509">
        <v>1000</v>
      </c>
      <c r="I191" s="509">
        <f>'Calculos CS 3 y 4'!B52</f>
        <v>1000</v>
      </c>
      <c r="J191" s="508"/>
    </row>
    <row r="192" spans="1:10" ht="21" customHeight="1">
      <c r="A192" s="507" t="s">
        <v>563</v>
      </c>
      <c r="B192" s="508" t="s">
        <v>579</v>
      </c>
      <c r="C192" s="508" t="s">
        <v>397</v>
      </c>
      <c r="D192" s="509">
        <v>2000</v>
      </c>
      <c r="E192" s="509">
        <v>2000</v>
      </c>
      <c r="F192" s="509">
        <v>2000</v>
      </c>
      <c r="G192" s="509">
        <v>2000</v>
      </c>
      <c r="H192" s="509">
        <v>2000</v>
      </c>
      <c r="I192" s="509">
        <f>'Calculos CS 3 y 4'!F52</f>
        <v>2000</v>
      </c>
      <c r="J192" s="508"/>
    </row>
    <row r="193" spans="1:10" ht="21" customHeight="1">
      <c r="A193" s="507" t="s">
        <v>563</v>
      </c>
      <c r="B193" s="508" t="s">
        <v>580</v>
      </c>
      <c r="C193" s="508" t="s">
        <v>411</v>
      </c>
      <c r="D193" s="509">
        <f>(($D$189/$D$191)*$D$190)/$D$192</f>
        <v>0</v>
      </c>
      <c r="E193" s="509">
        <f>(($E$189/$E$191)*$E$190)/$E$192</f>
        <v>0</v>
      </c>
      <c r="F193" s="509">
        <f>(($F$189/$F$191)*$F$190)/$F$192</f>
        <v>0</v>
      </c>
      <c r="G193" s="509">
        <f>(($G$189/$G$191)*$G$190)/$G$192</f>
        <v>0</v>
      </c>
      <c r="H193" s="509">
        <f>(($H$189/$H$191)*$H$190)/$H$192</f>
        <v>0</v>
      </c>
      <c r="I193" s="509">
        <f>(($I$189/$I$191)*$I$190)/$I$192</f>
        <v>0</v>
      </c>
      <c r="J193" s="508"/>
    </row>
    <row r="194" spans="1:10" ht="21" customHeight="1">
      <c r="A194" s="507" t="s">
        <v>563</v>
      </c>
      <c r="B194" s="508" t="s">
        <v>581</v>
      </c>
      <c r="C194" s="508" t="s">
        <v>397</v>
      </c>
      <c r="D194" s="509">
        <v>5</v>
      </c>
      <c r="E194" s="509">
        <v>5</v>
      </c>
      <c r="F194" s="509">
        <v>5</v>
      </c>
      <c r="G194" s="509">
        <v>5</v>
      </c>
      <c r="H194" s="509">
        <v>5</v>
      </c>
      <c r="I194" s="509">
        <f>'Calculos CS 3 y 4'!B62</f>
        <v>5</v>
      </c>
      <c r="J194" s="508"/>
    </row>
    <row r="195" spans="1:10" ht="21" customHeight="1">
      <c r="A195" s="507" t="s">
        <v>563</v>
      </c>
      <c r="B195" s="508" t="s">
        <v>582</v>
      </c>
      <c r="C195" s="508" t="s">
        <v>411</v>
      </c>
      <c r="D195" s="509">
        <f>$D$172</f>
        <v>0</v>
      </c>
      <c r="E195" s="509">
        <f>$E$172</f>
        <v>0</v>
      </c>
      <c r="F195" s="509">
        <f>$F$172</f>
        <v>0</v>
      </c>
      <c r="G195" s="509">
        <f>$G$172</f>
        <v>0</v>
      </c>
      <c r="H195" s="509">
        <f>$H$172</f>
        <v>0</v>
      </c>
      <c r="I195" s="509">
        <f>$I$172</f>
        <v>0</v>
      </c>
      <c r="J195" s="508"/>
    </row>
    <row r="196" spans="1:10" ht="21" customHeight="1">
      <c r="A196" s="507" t="s">
        <v>563</v>
      </c>
      <c r="B196" s="508" t="s">
        <v>583</v>
      </c>
      <c r="C196" s="508" t="s">
        <v>397</v>
      </c>
      <c r="D196" s="509">
        <v>1000</v>
      </c>
      <c r="E196" s="509">
        <v>1000</v>
      </c>
      <c r="F196" s="509">
        <v>1000</v>
      </c>
      <c r="G196" s="509">
        <v>1000</v>
      </c>
      <c r="H196" s="509">
        <v>1000</v>
      </c>
      <c r="I196" s="509">
        <f>'Calculos CS 3 y 4'!B63</f>
        <v>1000</v>
      </c>
      <c r="J196" s="508"/>
    </row>
    <row r="197" spans="1:10" ht="21" customHeight="1">
      <c r="A197" s="507" t="s">
        <v>563</v>
      </c>
      <c r="B197" s="508" t="s">
        <v>584</v>
      </c>
      <c r="C197" s="508" t="s">
        <v>397</v>
      </c>
      <c r="D197" s="509">
        <v>2000</v>
      </c>
      <c r="E197" s="509">
        <v>2000</v>
      </c>
      <c r="F197" s="509">
        <v>2000</v>
      </c>
      <c r="G197" s="509">
        <v>2000</v>
      </c>
      <c r="H197" s="509">
        <v>2000</v>
      </c>
      <c r="I197" s="509">
        <f>'Calculos CS 3 y 4'!F63</f>
        <v>2000</v>
      </c>
      <c r="J197" s="508"/>
    </row>
    <row r="198" spans="1:10" ht="21" customHeight="1">
      <c r="A198" s="507" t="s">
        <v>563</v>
      </c>
      <c r="B198" s="508" t="s">
        <v>585</v>
      </c>
      <c r="C198" s="508" t="s">
        <v>411</v>
      </c>
      <c r="D198" s="509">
        <f>(($D$194/$D$196)*$D$195)/$D$197</f>
        <v>0</v>
      </c>
      <c r="E198" s="509">
        <f>(($E$194/$E$196)*$E$195)/$E$197</f>
        <v>0</v>
      </c>
      <c r="F198" s="509">
        <f>(($F$194/$F$196)*$F$195)/$F$197</f>
        <v>0</v>
      </c>
      <c r="G198" s="509">
        <f>(($G$194/$G$196)*$G$195)/$G$197</f>
        <v>0</v>
      </c>
      <c r="H198" s="509">
        <f>(($H$194/$H$196)*$H$195)/$H$197</f>
        <v>0</v>
      </c>
      <c r="I198" s="509">
        <f>(($I$194/$I$196)*$I$195)/$I$197</f>
        <v>0</v>
      </c>
      <c r="J198" s="508"/>
    </row>
    <row r="199" spans="1:10" ht="21" customHeight="1">
      <c r="A199" s="507" t="s">
        <v>563</v>
      </c>
      <c r="B199" s="508" t="s">
        <v>586</v>
      </c>
      <c r="C199" s="508" t="s">
        <v>397</v>
      </c>
      <c r="D199" s="509">
        <v>1.5100000000000001E-3</v>
      </c>
      <c r="E199" s="509">
        <v>1.5100000000000001E-3</v>
      </c>
      <c r="F199" s="509">
        <v>1.5100000000000001E-3</v>
      </c>
      <c r="G199" s="509">
        <v>1.5100000000000001E-3</v>
      </c>
      <c r="H199" s="509">
        <v>1.5100000000000001E-3</v>
      </c>
      <c r="I199" s="509">
        <f>'Calculos CS 3 y 4'!B71</f>
        <v>1.5100000000000001E-3</v>
      </c>
      <c r="J199" s="508"/>
    </row>
    <row r="200" spans="1:10" ht="21" customHeight="1">
      <c r="A200" s="507" t="s">
        <v>563</v>
      </c>
      <c r="B200" s="508" t="s">
        <v>587</v>
      </c>
      <c r="C200" s="508" t="s">
        <v>411</v>
      </c>
      <c r="D200" s="509">
        <f>$D$172</f>
        <v>0</v>
      </c>
      <c r="E200" s="509">
        <f>$E$172</f>
        <v>0</v>
      </c>
      <c r="F200" s="509">
        <f>$F$172</f>
        <v>0</v>
      </c>
      <c r="G200" s="509">
        <f>$G$172</f>
        <v>0</v>
      </c>
      <c r="H200" s="509">
        <f>$H$172</f>
        <v>0</v>
      </c>
      <c r="I200" s="509">
        <f>$I$172</f>
        <v>0</v>
      </c>
      <c r="J200" s="508"/>
    </row>
    <row r="201" spans="1:10" ht="21" customHeight="1">
      <c r="A201" s="507" t="s">
        <v>563</v>
      </c>
      <c r="B201" s="508" t="s">
        <v>588</v>
      </c>
      <c r="C201" s="508" t="s">
        <v>397</v>
      </c>
      <c r="D201" s="509">
        <v>1000</v>
      </c>
      <c r="E201" s="509">
        <v>1000</v>
      </c>
      <c r="F201" s="509">
        <v>1000</v>
      </c>
      <c r="G201" s="509">
        <v>1000</v>
      </c>
      <c r="H201" s="509">
        <v>1000</v>
      </c>
      <c r="I201" s="509">
        <f>'Calculos CS 3 y 4'!B72</f>
        <v>1000</v>
      </c>
      <c r="J201" s="508"/>
    </row>
    <row r="202" spans="1:10" ht="21" customHeight="1">
      <c r="A202" s="507" t="s">
        <v>563</v>
      </c>
      <c r="B202" s="508" t="s">
        <v>589</v>
      </c>
      <c r="C202" s="508" t="s">
        <v>397</v>
      </c>
      <c r="D202" s="509">
        <v>2000</v>
      </c>
      <c r="E202" s="509">
        <v>2000</v>
      </c>
      <c r="F202" s="509">
        <v>2000</v>
      </c>
      <c r="G202" s="509">
        <v>2000</v>
      </c>
      <c r="H202" s="509">
        <v>2000</v>
      </c>
      <c r="I202" s="509">
        <f>'Calculos CS 3 y 4'!F72</f>
        <v>2000</v>
      </c>
      <c r="J202" s="508"/>
    </row>
    <row r="203" spans="1:10" ht="21" customHeight="1">
      <c r="A203" s="507" t="s">
        <v>563</v>
      </c>
      <c r="B203" s="508" t="s">
        <v>590</v>
      </c>
      <c r="C203" s="508" t="s">
        <v>411</v>
      </c>
      <c r="D203" s="509">
        <f>(($D$199/$D$201)*$D$200)/$D$202</f>
        <v>0</v>
      </c>
      <c r="E203" s="509">
        <f>(($E$199/$E$201)*$E$200)/$E$202</f>
        <v>0</v>
      </c>
      <c r="F203" s="509">
        <f>(($F$199/$F$201)*$F$200)/$F$202</f>
        <v>0</v>
      </c>
      <c r="G203" s="509">
        <f>(($G$199/$G$201)*$G$200)/$G$202</f>
        <v>0</v>
      </c>
      <c r="H203" s="509">
        <f>(($H$199/$H$201)*$H$200)/$H$202</f>
        <v>0</v>
      </c>
      <c r="I203" s="509">
        <f>(($I$199/$I$201)*$I$200)/$I$202</f>
        <v>0</v>
      </c>
      <c r="J203" s="508"/>
    </row>
    <row r="204" spans="1:10" ht="21" customHeight="1">
      <c r="A204" s="510" t="s">
        <v>591</v>
      </c>
      <c r="B204" s="506"/>
      <c r="C204" s="506"/>
      <c r="D204" s="511"/>
      <c r="E204" s="511"/>
      <c r="F204" s="511"/>
      <c r="G204" s="511"/>
      <c r="H204" s="511"/>
      <c r="I204" s="512"/>
      <c r="J204" s="506"/>
    </row>
    <row r="205" spans="1:10" ht="21" customHeight="1">
      <c r="A205" s="507" t="s">
        <v>591</v>
      </c>
      <c r="B205" s="508" t="s">
        <v>592</v>
      </c>
      <c r="C205" s="508" t="s">
        <v>397</v>
      </c>
      <c r="D205" s="509">
        <v>0.35</v>
      </c>
      <c r="E205" s="509">
        <v>0.35</v>
      </c>
      <c r="F205" s="509">
        <v>0.35</v>
      </c>
      <c r="G205" s="509">
        <v>0.35</v>
      </c>
      <c r="H205" s="509">
        <v>0.35</v>
      </c>
      <c r="I205" s="509">
        <f>'CS 5'!B4</f>
        <v>0.35</v>
      </c>
      <c r="J205" s="508" t="s">
        <v>14</v>
      </c>
    </row>
    <row r="206" spans="1:10" ht="21" customHeight="1">
      <c r="A206" s="507" t="s">
        <v>591</v>
      </c>
      <c r="B206" s="508" t="s">
        <v>593</v>
      </c>
      <c r="C206" s="508" t="s">
        <v>397</v>
      </c>
      <c r="D206" s="509">
        <v>0.35</v>
      </c>
      <c r="E206" s="509">
        <v>0.35</v>
      </c>
      <c r="F206" s="509">
        <v>0.35</v>
      </c>
      <c r="G206" s="509">
        <v>0.35</v>
      </c>
      <c r="H206" s="509">
        <v>0.35</v>
      </c>
      <c r="I206" s="509">
        <f>'CS 5'!C4</f>
        <v>0.35</v>
      </c>
      <c r="J206" s="508" t="s">
        <v>14</v>
      </c>
    </row>
    <row r="207" spans="1:10" ht="21" customHeight="1">
      <c r="A207" s="507" t="s">
        <v>591</v>
      </c>
      <c r="B207" s="508" t="s">
        <v>396</v>
      </c>
      <c r="C207" s="508" t="s">
        <v>397</v>
      </c>
      <c r="D207" s="509">
        <v>8.9999999999999993E-3</v>
      </c>
      <c r="E207" s="509">
        <v>8.9999999999999993E-3</v>
      </c>
      <c r="F207" s="509">
        <v>8.9999999999999993E-3</v>
      </c>
      <c r="G207" s="509">
        <v>8.9999999999999993E-3</v>
      </c>
      <c r="H207" s="509">
        <v>8.9999999999999993E-3</v>
      </c>
      <c r="I207" s="509">
        <f>'CS 5'!B5</f>
        <v>8.9999999999999993E-3</v>
      </c>
      <c r="J207" s="508" t="s">
        <v>15</v>
      </c>
    </row>
    <row r="208" spans="1:10" ht="21" customHeight="1">
      <c r="A208" s="507" t="s">
        <v>591</v>
      </c>
      <c r="B208" s="508" t="s">
        <v>399</v>
      </c>
      <c r="C208" s="508" t="s">
        <v>397</v>
      </c>
      <c r="D208" s="509">
        <v>3.8E-3</v>
      </c>
      <c r="E208" s="509">
        <v>3.8E-3</v>
      </c>
      <c r="F208" s="509">
        <v>3.8E-3</v>
      </c>
      <c r="G208" s="509">
        <v>3.8E-3</v>
      </c>
      <c r="H208" s="509">
        <v>3.8E-3</v>
      </c>
      <c r="I208" s="509">
        <f>'CS 5'!C5</f>
        <v>3.8E-3</v>
      </c>
      <c r="J208" s="508" t="s">
        <v>15</v>
      </c>
    </row>
    <row r="209" spans="1:10" ht="21" customHeight="1">
      <c r="A209" s="507" t="s">
        <v>591</v>
      </c>
      <c r="B209" s="508" t="s">
        <v>407</v>
      </c>
      <c r="C209" s="508" t="s">
        <v>397</v>
      </c>
      <c r="D209" s="509">
        <v>8.0000000000000004E-4</v>
      </c>
      <c r="E209" s="509">
        <v>8.0000000000000004E-4</v>
      </c>
      <c r="F209" s="509">
        <v>8.0000000000000004E-4</v>
      </c>
      <c r="G209" s="509">
        <v>8.0000000000000004E-4</v>
      </c>
      <c r="H209" s="509">
        <v>8.0000000000000004E-4</v>
      </c>
      <c r="I209" s="509">
        <f>'CS 5'!B6</f>
        <v>8.0000000000000004E-4</v>
      </c>
      <c r="J209" s="508" t="s">
        <v>16</v>
      </c>
    </row>
    <row r="210" spans="1:10" ht="21" customHeight="1">
      <c r="A210" s="507" t="s">
        <v>591</v>
      </c>
      <c r="B210" s="508" t="s">
        <v>409</v>
      </c>
      <c r="C210" s="508" t="s">
        <v>397</v>
      </c>
      <c r="D210" s="509">
        <v>1.2999999999999999E-3</v>
      </c>
      <c r="E210" s="509">
        <v>1.2999999999999999E-3</v>
      </c>
      <c r="F210" s="509">
        <v>1.2999999999999999E-3</v>
      </c>
      <c r="G210" s="509">
        <v>1.2999999999999999E-3</v>
      </c>
      <c r="H210" s="509">
        <v>1.2999999999999999E-3</v>
      </c>
      <c r="I210" s="509">
        <f>'CS 5'!C6</f>
        <v>1.2999999999999999E-3</v>
      </c>
      <c r="J210" s="508" t="s">
        <v>16</v>
      </c>
    </row>
    <row r="211" spans="1:10" ht="21" customHeight="1">
      <c r="A211" s="507" t="s">
        <v>591</v>
      </c>
      <c r="B211" s="508" t="s">
        <v>420</v>
      </c>
      <c r="C211" s="508" t="s">
        <v>397</v>
      </c>
      <c r="D211" s="509">
        <v>5.0000000000000001E-3</v>
      </c>
      <c r="E211" s="509">
        <v>5.0000000000000001E-3</v>
      </c>
      <c r="F211" s="509">
        <v>5.0000000000000001E-3</v>
      </c>
      <c r="G211" s="509">
        <v>5.0000000000000001E-3</v>
      </c>
      <c r="H211" s="509">
        <v>5.0000000000000001E-3</v>
      </c>
      <c r="I211" s="509">
        <f>'CS 5'!B7</f>
        <v>5.0000000000000001E-3</v>
      </c>
      <c r="J211" s="508" t="s">
        <v>11</v>
      </c>
    </row>
    <row r="212" spans="1:10" ht="21" customHeight="1">
      <c r="A212" s="507" t="s">
        <v>591</v>
      </c>
      <c r="B212" s="508" t="s">
        <v>422</v>
      </c>
      <c r="C212" s="508" t="s">
        <v>397</v>
      </c>
      <c r="D212" s="509">
        <v>2.75E-2</v>
      </c>
      <c r="E212" s="509">
        <v>2.75E-2</v>
      </c>
      <c r="F212" s="509">
        <v>2.75E-2</v>
      </c>
      <c r="G212" s="509">
        <v>2.75E-2</v>
      </c>
      <c r="H212" s="509">
        <v>2.75E-2</v>
      </c>
      <c r="I212" s="509">
        <f>'CS 5'!C7</f>
        <v>2.75E-2</v>
      </c>
      <c r="J212" s="508" t="s">
        <v>11</v>
      </c>
    </row>
    <row r="213" spans="1:10" ht="21" customHeight="1">
      <c r="A213" s="507" t="s">
        <v>591</v>
      </c>
      <c r="B213" s="508" t="s">
        <v>431</v>
      </c>
      <c r="C213" s="508" t="s">
        <v>397</v>
      </c>
      <c r="D213" s="509">
        <v>8.0999999999999996E-3</v>
      </c>
      <c r="E213" s="509">
        <v>8.0999999999999996E-3</v>
      </c>
      <c r="F213" s="509">
        <v>8.0999999999999996E-3</v>
      </c>
      <c r="G213" s="509">
        <v>8.0999999999999996E-3</v>
      </c>
      <c r="H213" s="509">
        <v>8.0999999999999996E-3</v>
      </c>
      <c r="I213" s="509">
        <f>'CS 5'!B8</f>
        <v>8.0999999999999996E-3</v>
      </c>
      <c r="J213" s="508" t="s">
        <v>12</v>
      </c>
    </row>
    <row r="214" spans="1:10" ht="21" customHeight="1">
      <c r="A214" s="507" t="s">
        <v>591</v>
      </c>
      <c r="B214" s="508" t="s">
        <v>433</v>
      </c>
      <c r="C214" s="508" t="s">
        <v>397</v>
      </c>
      <c r="D214" s="509">
        <v>0.04</v>
      </c>
      <c r="E214" s="509">
        <v>0.04</v>
      </c>
      <c r="F214" s="509">
        <v>0.04</v>
      </c>
      <c r="G214" s="509">
        <v>0.04</v>
      </c>
      <c r="H214" s="509">
        <v>0.04</v>
      </c>
      <c r="I214" s="509">
        <f>'CS 5'!C8</f>
        <v>0.04</v>
      </c>
      <c r="J214" s="508" t="s">
        <v>12</v>
      </c>
    </row>
    <row r="215" spans="1:10" ht="21" customHeight="1">
      <c r="A215" s="507" t="s">
        <v>591</v>
      </c>
      <c r="B215" s="508" t="s">
        <v>440</v>
      </c>
      <c r="C215" s="508" t="s">
        <v>397</v>
      </c>
      <c r="D215" s="509">
        <v>7.4999999999999997E-3</v>
      </c>
      <c r="E215" s="509">
        <v>7.4999999999999997E-3</v>
      </c>
      <c r="F215" s="509">
        <v>7.4999999999999997E-3</v>
      </c>
      <c r="G215" s="509">
        <v>7.4999999999999997E-3</v>
      </c>
      <c r="H215" s="509">
        <v>7.4999999999999997E-3</v>
      </c>
      <c r="I215" s="509">
        <f>'CS 5'!B9</f>
        <v>7.4999999999999997E-3</v>
      </c>
      <c r="J215" s="508" t="s">
        <v>34</v>
      </c>
    </row>
    <row r="216" spans="1:10" ht="21" customHeight="1">
      <c r="A216" s="507" t="s">
        <v>591</v>
      </c>
      <c r="B216" s="508" t="s">
        <v>442</v>
      </c>
      <c r="C216" s="508" t="s">
        <v>397</v>
      </c>
      <c r="D216" s="509">
        <v>3.3000000000000002E-2</v>
      </c>
      <c r="E216" s="509">
        <v>3.3000000000000002E-2</v>
      </c>
      <c r="F216" s="509">
        <v>3.3000000000000002E-2</v>
      </c>
      <c r="G216" s="509">
        <v>3.3000000000000002E-2</v>
      </c>
      <c r="H216" s="509">
        <v>3.3000000000000002E-2</v>
      </c>
      <c r="I216" s="509">
        <f>'CS 5'!C9</f>
        <v>3.3000000000000002E-2</v>
      </c>
      <c r="J216" s="508" t="s">
        <v>34</v>
      </c>
    </row>
    <row r="217" spans="1:10" ht="21" customHeight="1">
      <c r="A217" s="507" t="s">
        <v>591</v>
      </c>
      <c r="B217" s="508" t="s">
        <v>450</v>
      </c>
      <c r="C217" s="508" t="s">
        <v>397</v>
      </c>
      <c r="D217" s="509">
        <v>4.0000000000000001E-3</v>
      </c>
      <c r="E217" s="509">
        <v>4.0000000000000001E-3</v>
      </c>
      <c r="F217" s="509">
        <v>4.0000000000000001E-3</v>
      </c>
      <c r="G217" s="509">
        <v>4.0000000000000001E-3</v>
      </c>
      <c r="H217" s="509">
        <v>4.0000000000000001E-3</v>
      </c>
      <c r="I217" s="509">
        <f>'CS 5'!B10</f>
        <v>4.0000000000000001E-3</v>
      </c>
      <c r="J217" s="508" t="s">
        <v>13</v>
      </c>
    </row>
    <row r="218" spans="1:10" ht="21" customHeight="1">
      <c r="A218" s="507" t="s">
        <v>591</v>
      </c>
      <c r="B218" s="508" t="s">
        <v>459</v>
      </c>
      <c r="C218" s="508" t="s">
        <v>397</v>
      </c>
      <c r="D218" s="509">
        <v>4.2999999999999999E-4</v>
      </c>
      <c r="E218" s="509">
        <v>4.2999999999999999E-4</v>
      </c>
      <c r="F218" s="509">
        <v>4.2999999999999999E-4</v>
      </c>
      <c r="G218" s="509">
        <v>4.2999999999999999E-4</v>
      </c>
      <c r="H218" s="509">
        <v>4.2999999999999999E-4</v>
      </c>
      <c r="I218" s="509">
        <f>'CS 5'!B11</f>
        <v>4.2999999999999999E-4</v>
      </c>
      <c r="J218" s="508" t="s">
        <v>36</v>
      </c>
    </row>
    <row r="219" spans="1:10" ht="21" customHeight="1">
      <c r="A219" s="507" t="s">
        <v>591</v>
      </c>
      <c r="B219" s="508" t="s">
        <v>461</v>
      </c>
      <c r="C219" s="508" t="s">
        <v>397</v>
      </c>
      <c r="D219" s="509">
        <v>2.2589999999999999E-2</v>
      </c>
      <c r="E219" s="509">
        <v>2.2589999999999999E-2</v>
      </c>
      <c r="F219" s="509">
        <v>2.2589999999999999E-2</v>
      </c>
      <c r="G219" s="509">
        <v>2.2589999999999999E-2</v>
      </c>
      <c r="H219" s="509">
        <v>2.2589999999999999E-2</v>
      </c>
      <c r="I219" s="509">
        <f>'CS 5'!C11</f>
        <v>2.2589999999999999E-2</v>
      </c>
      <c r="J219" s="508" t="s">
        <v>36</v>
      </c>
    </row>
    <row r="220" spans="1:10" ht="21" customHeight="1">
      <c r="A220" s="507" t="s">
        <v>591</v>
      </c>
      <c r="B220" s="508" t="s">
        <v>594</v>
      </c>
      <c r="C220" s="508" t="s">
        <v>411</v>
      </c>
      <c r="D220" s="509">
        <f>(157765.7+153.2+365.3)*2204.6/13621578</f>
        <v>25.617688884503689</v>
      </c>
      <c r="E220" s="509">
        <f>(2039612.73+81.84*25+16.37*298)*2204.6/181872012</f>
        <v>24.807530298581618</v>
      </c>
      <c r="F220" s="509">
        <f>(157765.7+153.2+365.3)*2204.6/13621578</f>
        <v>25.617688884503689</v>
      </c>
      <c r="G220" s="509">
        <f>(157765.7+153.2+365.3)*2204.6/13621578</f>
        <v>25.617688884503689</v>
      </c>
      <c r="H220" s="509">
        <f>(157765.7+153.2+365.3)*2204.6/13621578</f>
        <v>25.617688884503689</v>
      </c>
      <c r="I220" s="509">
        <f>(157765.7+153.2+365.3)*2204.6/13621578</f>
        <v>25.617688884503689</v>
      </c>
      <c r="J220" s="508" t="s">
        <v>36</v>
      </c>
    </row>
    <row r="221" spans="1:10" ht="21" customHeight="1">
      <c r="A221" s="507" t="s">
        <v>591</v>
      </c>
      <c r="B221" s="508" t="s">
        <v>464</v>
      </c>
      <c r="C221" s="508" t="s">
        <v>397</v>
      </c>
      <c r="D221" s="509">
        <v>0</v>
      </c>
      <c r="E221" s="509">
        <v>0</v>
      </c>
      <c r="F221" s="509">
        <v>0</v>
      </c>
      <c r="G221" s="509">
        <v>0</v>
      </c>
      <c r="H221" s="509">
        <v>0</v>
      </c>
      <c r="I221" s="509">
        <f>'CS 5'!B12</f>
        <v>0</v>
      </c>
      <c r="J221" s="508" t="s">
        <v>17</v>
      </c>
    </row>
    <row r="222" spans="1:10" ht="21" customHeight="1">
      <c r="A222" s="507" t="s">
        <v>591</v>
      </c>
      <c r="B222" s="508" t="s">
        <v>466</v>
      </c>
      <c r="C222" s="508" t="s">
        <v>397</v>
      </c>
      <c r="D222" s="509">
        <v>4.6299999999999997E-6</v>
      </c>
      <c r="E222" s="509">
        <v>4.6299999999999997E-6</v>
      </c>
      <c r="F222" s="509">
        <v>4.6299999999999997E-6</v>
      </c>
      <c r="G222" s="509">
        <v>4.6299999999999997E-6</v>
      </c>
      <c r="H222" s="509">
        <v>4.6299999999999997E-6</v>
      </c>
      <c r="I222" s="509">
        <f>'CS 5'!C12</f>
        <v>4.6299999999999997E-6</v>
      </c>
      <c r="J222" s="508" t="s">
        <v>17</v>
      </c>
    </row>
    <row r="223" spans="1:10" ht="21" customHeight="1">
      <c r="A223" s="507" t="s">
        <v>591</v>
      </c>
      <c r="B223" s="508" t="s">
        <v>595</v>
      </c>
      <c r="C223" s="508" t="s">
        <v>411</v>
      </c>
      <c r="D223" s="509">
        <f>(989989.8+466.4+556)*2204.62/18132099995</f>
        <v>0.12049378268189943</v>
      </c>
      <c r="E223" s="509">
        <f>(989989.8+466.4+556)*2204.62/18132099995</f>
        <v>0.12049378268189943</v>
      </c>
      <c r="F223" s="509">
        <f>(989989.8+466.4+556)*2204.62/18132099995</f>
        <v>0.12049378268189943</v>
      </c>
      <c r="G223" s="509">
        <f>(989989.8+466.4+556)*2204.62/18132099995</f>
        <v>0.12049378268189943</v>
      </c>
      <c r="H223" s="509">
        <f>(989989.8+466.4+556)*2204.62/18132099995</f>
        <v>0.12049378268189943</v>
      </c>
      <c r="I223" s="509">
        <f>(989989.8+466.4+556)*2204.62/18132099995</f>
        <v>0.12049378268189943</v>
      </c>
      <c r="J223" s="508" t="s">
        <v>17</v>
      </c>
    </row>
    <row r="224" spans="1:10" ht="21" customHeight="1">
      <c r="A224" s="507" t="s">
        <v>591</v>
      </c>
      <c r="B224" s="508" t="s">
        <v>484</v>
      </c>
      <c r="C224" s="508" t="s">
        <v>411</v>
      </c>
      <c r="D224" s="509">
        <f>$D$18</f>
        <v>0</v>
      </c>
      <c r="E224" s="509">
        <f>$E$26</f>
        <v>1967839.86</v>
      </c>
      <c r="F224" s="509">
        <f>$F$36</f>
        <v>2316600.3000000003</v>
      </c>
      <c r="G224" s="509">
        <f>$G$46</f>
        <v>71616.72</v>
      </c>
      <c r="H224" s="509">
        <f>$H$54</f>
        <v>692202.42</v>
      </c>
      <c r="I224" s="509">
        <f>$I$62</f>
        <v>490512.54</v>
      </c>
      <c r="J224" s="508" t="s">
        <v>596</v>
      </c>
    </row>
    <row r="225" spans="1:10" ht="21" customHeight="1">
      <c r="A225" s="507" t="s">
        <v>591</v>
      </c>
      <c r="B225" s="508" t="s">
        <v>489</v>
      </c>
      <c r="C225" s="508" t="s">
        <v>411</v>
      </c>
      <c r="D225" s="509">
        <f>$D$120</f>
        <v>1554213850</v>
      </c>
      <c r="E225" s="509">
        <f>$E$122</f>
        <v>1492830</v>
      </c>
      <c r="F225" s="509">
        <f>$F$124</f>
        <v>1819735664.8499999</v>
      </c>
      <c r="G225" s="509">
        <f>$G$126</f>
        <v>1802878930.3499999</v>
      </c>
      <c r="H225" s="509">
        <f>$H$128</f>
        <v>1879125480</v>
      </c>
      <c r="I225" s="509">
        <f>$I$130</f>
        <v>2234892060</v>
      </c>
      <c r="J225" s="508" t="s">
        <v>597</v>
      </c>
    </row>
    <row r="226" spans="1:10" ht="21" customHeight="1">
      <c r="A226" s="507" t="s">
        <v>591</v>
      </c>
      <c r="B226" s="508" t="s">
        <v>564</v>
      </c>
      <c r="C226" s="508" t="s">
        <v>411</v>
      </c>
      <c r="D226" s="509">
        <f>$D$22</f>
        <v>0.47</v>
      </c>
      <c r="E226" s="509">
        <f>$E$30</f>
        <v>0.47</v>
      </c>
      <c r="F226" s="509">
        <f>$F$40</f>
        <v>0.48</v>
      </c>
      <c r="G226" s="509">
        <f>$G$50</f>
        <v>0.48</v>
      </c>
      <c r="H226" s="509">
        <f>$H$58</f>
        <v>0.49</v>
      </c>
      <c r="I226" s="509">
        <f>$I$66</f>
        <v>0.47</v>
      </c>
      <c r="J226" s="508" t="s">
        <v>130</v>
      </c>
    </row>
    <row r="227" spans="1:10" ht="21" customHeight="1">
      <c r="A227" s="507" t="s">
        <v>591</v>
      </c>
      <c r="B227" s="508" t="s">
        <v>598</v>
      </c>
      <c r="C227" s="508" t="s">
        <v>411</v>
      </c>
      <c r="D227" s="509">
        <f>$D$224</f>
        <v>0</v>
      </c>
      <c r="E227" s="509">
        <f>$E$224</f>
        <v>1967839.86</v>
      </c>
      <c r="F227" s="509">
        <f>$F$224</f>
        <v>2316600.3000000003</v>
      </c>
      <c r="G227" s="509">
        <f>$G$224</f>
        <v>71616.72</v>
      </c>
      <c r="H227" s="509">
        <f>$H$224</f>
        <v>692202.42</v>
      </c>
      <c r="I227" s="509">
        <f>$I$224</f>
        <v>490512.54</v>
      </c>
      <c r="J227" s="508" t="s">
        <v>132</v>
      </c>
    </row>
    <row r="228" spans="1:10" ht="21" customHeight="1">
      <c r="A228" s="507" t="s">
        <v>591</v>
      </c>
      <c r="B228" s="508" t="s">
        <v>599</v>
      </c>
      <c r="C228" s="508" t="s">
        <v>397</v>
      </c>
      <c r="D228" s="509">
        <v>0.15</v>
      </c>
      <c r="E228" s="509">
        <v>0.15</v>
      </c>
      <c r="F228" s="509">
        <v>0.15</v>
      </c>
      <c r="G228" s="509">
        <v>0.15</v>
      </c>
      <c r="H228" s="509">
        <v>0.15</v>
      </c>
      <c r="I228" s="509">
        <f>'CS 5'!E20</f>
        <v>0.15</v>
      </c>
      <c r="J228" s="508" t="s">
        <v>132</v>
      </c>
    </row>
    <row r="229" spans="1:10" ht="21" customHeight="1">
      <c r="A229" s="507" t="s">
        <v>591</v>
      </c>
      <c r="B229" s="508" t="s">
        <v>600</v>
      </c>
      <c r="C229" s="508" t="s">
        <v>411</v>
      </c>
      <c r="D229" s="509">
        <f>$D$206</f>
        <v>0.35</v>
      </c>
      <c r="E229" s="509">
        <f>$E$206</f>
        <v>0.35</v>
      </c>
      <c r="F229" s="509">
        <f>$F$206</f>
        <v>0.35</v>
      </c>
      <c r="G229" s="509">
        <f>$G$206</f>
        <v>0.35</v>
      </c>
      <c r="H229" s="509">
        <f>$H$206</f>
        <v>0.35</v>
      </c>
      <c r="I229" s="509">
        <f>$I$206</f>
        <v>0.35</v>
      </c>
      <c r="J229" s="508" t="s">
        <v>132</v>
      </c>
    </row>
    <row r="230" spans="1:10" ht="21" customHeight="1">
      <c r="A230" s="507" t="s">
        <v>591</v>
      </c>
      <c r="B230" s="508" t="s">
        <v>601</v>
      </c>
      <c r="C230" s="508" t="s">
        <v>411</v>
      </c>
      <c r="D230" s="509">
        <f>$D$225</f>
        <v>1554213850</v>
      </c>
      <c r="E230" s="509">
        <f>$E$225</f>
        <v>1492830</v>
      </c>
      <c r="F230" s="509">
        <f>$F$225</f>
        <v>1819735664.8499999</v>
      </c>
      <c r="G230" s="509">
        <f>$G$225</f>
        <v>1802878930.3499999</v>
      </c>
      <c r="H230" s="509">
        <f>$H$225</f>
        <v>1879125480</v>
      </c>
      <c r="I230" s="509">
        <f>$I$225</f>
        <v>2234892060</v>
      </c>
      <c r="J230" s="508" t="s">
        <v>132</v>
      </c>
    </row>
    <row r="231" spans="1:10" ht="21" customHeight="1">
      <c r="A231" s="507" t="s">
        <v>591</v>
      </c>
      <c r="B231" s="508" t="s">
        <v>602</v>
      </c>
      <c r="C231" s="508" t="s">
        <v>397</v>
      </c>
      <c r="D231" s="509">
        <v>1040</v>
      </c>
      <c r="E231" s="509">
        <v>1040</v>
      </c>
      <c r="F231" s="509">
        <v>1040</v>
      </c>
      <c r="G231" s="509">
        <v>1040</v>
      </c>
      <c r="H231" s="509">
        <v>1040</v>
      </c>
      <c r="I231" s="509">
        <f>'CS 5'!O20</f>
        <v>1040</v>
      </c>
      <c r="J231" s="508" t="s">
        <v>132</v>
      </c>
    </row>
    <row r="232" spans="1:10" ht="21" customHeight="1">
      <c r="A232" s="507" t="s">
        <v>591</v>
      </c>
      <c r="B232" s="508" t="s">
        <v>603</v>
      </c>
      <c r="C232" s="508" t="s">
        <v>411</v>
      </c>
      <c r="D232" s="509">
        <f>$D$205</f>
        <v>0.35</v>
      </c>
      <c r="E232" s="509">
        <f>$E$205</f>
        <v>0.35</v>
      </c>
      <c r="F232" s="509">
        <f>$F$205</f>
        <v>0.35</v>
      </c>
      <c r="G232" s="509">
        <f>$G$205</f>
        <v>0.35</v>
      </c>
      <c r="H232" s="509">
        <f>$H$205</f>
        <v>0.35</v>
      </c>
      <c r="I232" s="509">
        <f>$I$205</f>
        <v>0.35</v>
      </c>
      <c r="J232" s="508" t="s">
        <v>132</v>
      </c>
    </row>
    <row r="233" spans="1:10" ht="21" customHeight="1">
      <c r="A233" s="507" t="s">
        <v>591</v>
      </c>
      <c r="B233" s="508" t="s">
        <v>604</v>
      </c>
      <c r="C233" s="508" t="s">
        <v>411</v>
      </c>
      <c r="D233" s="509">
        <f>($D$227*$D$228*$D$229+$D$230*$D$231*$D$232/1000000)/2000</f>
        <v>282.86692070000004</v>
      </c>
      <c r="E233" s="509">
        <f>($E$227*$E$228*$E$229+$E$230*$E$231*$E$232/1000000)/2000</f>
        <v>51.927491384999996</v>
      </c>
      <c r="F233" s="509">
        <f>($F$227*$F$228*$F$229+$F$230*$F$231*$F$232/1000000)/2000</f>
        <v>392.00264887769998</v>
      </c>
      <c r="G233" s="509">
        <f>($G$227*$G$228*$G$229+$G$230*$G$231*$G$232/1000000)/2000</f>
        <v>330.00390422369992</v>
      </c>
      <c r="H233" s="509">
        <f>($H$227*$H$228*$H$229+$H$230*$H$231*$H$232/1000000)/2000</f>
        <v>360.17115088500003</v>
      </c>
      <c r="I233" s="509">
        <f>($I$227*$I$228*$I$229+$I$230*$I$231*$I$232/1000000)/2000</f>
        <v>419.62630909500001</v>
      </c>
      <c r="J233" s="508"/>
    </row>
    <row r="234" spans="1:10" ht="21" customHeight="1">
      <c r="A234" s="507" t="s">
        <v>591</v>
      </c>
      <c r="B234" s="508" t="s">
        <v>501</v>
      </c>
      <c r="C234" s="508" t="s">
        <v>411</v>
      </c>
      <c r="D234" s="509">
        <f>$D$224</f>
        <v>0</v>
      </c>
      <c r="E234" s="509">
        <f>$E$224</f>
        <v>1967839.86</v>
      </c>
      <c r="F234" s="509">
        <f>$F$224</f>
        <v>2316600.3000000003</v>
      </c>
      <c r="G234" s="509">
        <f>$G$224</f>
        <v>71616.72</v>
      </c>
      <c r="H234" s="509">
        <f>$H$224</f>
        <v>692202.42</v>
      </c>
      <c r="I234" s="509">
        <f>$I$224</f>
        <v>490512.54</v>
      </c>
      <c r="J234" s="508" t="s">
        <v>144</v>
      </c>
    </row>
    <row r="235" spans="1:10" ht="21" customHeight="1">
      <c r="A235" s="507" t="s">
        <v>591</v>
      </c>
      <c r="B235" s="508" t="s">
        <v>504</v>
      </c>
      <c r="C235" s="508" t="s">
        <v>397</v>
      </c>
      <c r="D235" s="509">
        <v>0.15</v>
      </c>
      <c r="E235" s="509">
        <v>0.15</v>
      </c>
      <c r="F235" s="509">
        <v>0.15</v>
      </c>
      <c r="G235" s="509">
        <v>0.15</v>
      </c>
      <c r="H235" s="509">
        <v>0.15</v>
      </c>
      <c r="I235" s="509">
        <f>'CS 5'!E26</f>
        <v>0.15</v>
      </c>
      <c r="J235" s="508" t="s">
        <v>144</v>
      </c>
    </row>
    <row r="236" spans="1:10" ht="21" customHeight="1">
      <c r="A236" s="507" t="s">
        <v>591</v>
      </c>
      <c r="B236" s="508" t="s">
        <v>605</v>
      </c>
      <c r="C236" s="508" t="s">
        <v>411</v>
      </c>
      <c r="D236" s="509">
        <f>$D$208</f>
        <v>3.8E-3</v>
      </c>
      <c r="E236" s="509">
        <f>$E$208</f>
        <v>3.8E-3</v>
      </c>
      <c r="F236" s="509">
        <f>$F$208</f>
        <v>3.8E-3</v>
      </c>
      <c r="G236" s="509">
        <f>$G$208</f>
        <v>3.8E-3</v>
      </c>
      <c r="H236" s="509">
        <f>$H$208</f>
        <v>3.8E-3</v>
      </c>
      <c r="I236" s="509">
        <f>$I$208</f>
        <v>3.8E-3</v>
      </c>
      <c r="J236" s="508" t="s">
        <v>144</v>
      </c>
    </row>
    <row r="237" spans="1:10" ht="21" customHeight="1">
      <c r="A237" s="507" t="s">
        <v>591</v>
      </c>
      <c r="B237" s="508" t="s">
        <v>606</v>
      </c>
      <c r="C237" s="508" t="s">
        <v>411</v>
      </c>
      <c r="D237" s="509">
        <f>$D$225</f>
        <v>1554213850</v>
      </c>
      <c r="E237" s="509">
        <f>$E$225</f>
        <v>1492830</v>
      </c>
      <c r="F237" s="509">
        <f>$F$225</f>
        <v>1819735664.8499999</v>
      </c>
      <c r="G237" s="509">
        <f>$G$225</f>
        <v>1802878930.3499999</v>
      </c>
      <c r="H237" s="509">
        <f>$H$225</f>
        <v>1879125480</v>
      </c>
      <c r="I237" s="509">
        <f>$I$225</f>
        <v>2234892060</v>
      </c>
      <c r="J237" s="508" t="s">
        <v>144</v>
      </c>
    </row>
    <row r="238" spans="1:10" ht="21" customHeight="1">
      <c r="A238" s="507" t="s">
        <v>591</v>
      </c>
      <c r="B238" s="508" t="s">
        <v>607</v>
      </c>
      <c r="C238" s="508" t="s">
        <v>397</v>
      </c>
      <c r="D238" s="509">
        <v>1040</v>
      </c>
      <c r="E238" s="509">
        <v>1040</v>
      </c>
      <c r="F238" s="509">
        <v>1040</v>
      </c>
      <c r="G238" s="509">
        <v>1040</v>
      </c>
      <c r="H238" s="509">
        <v>1040</v>
      </c>
      <c r="I238" s="509">
        <f>'CS 5'!O26</f>
        <v>1040</v>
      </c>
      <c r="J238" s="508" t="s">
        <v>144</v>
      </c>
    </row>
    <row r="239" spans="1:10" ht="21" customHeight="1">
      <c r="A239" s="507" t="s">
        <v>591</v>
      </c>
      <c r="B239" s="508" t="s">
        <v>608</v>
      </c>
      <c r="C239" s="508" t="s">
        <v>411</v>
      </c>
      <c r="D239" s="509">
        <f>$D$207</f>
        <v>8.9999999999999993E-3</v>
      </c>
      <c r="E239" s="509">
        <f>$E$207</f>
        <v>8.9999999999999993E-3</v>
      </c>
      <c r="F239" s="509">
        <f>$F$207</f>
        <v>8.9999999999999993E-3</v>
      </c>
      <c r="G239" s="509">
        <f>$G$207</f>
        <v>8.9999999999999993E-3</v>
      </c>
      <c r="H239" s="509">
        <f>$H$207</f>
        <v>8.9999999999999993E-3</v>
      </c>
      <c r="I239" s="509">
        <f>$I$207</f>
        <v>8.9999999999999993E-3</v>
      </c>
      <c r="J239" s="508" t="s">
        <v>144</v>
      </c>
    </row>
    <row r="240" spans="1:10" ht="21" customHeight="1">
      <c r="A240" s="507" t="s">
        <v>591</v>
      </c>
      <c r="B240" s="508" t="s">
        <v>513</v>
      </c>
      <c r="C240" s="508" t="s">
        <v>411</v>
      </c>
      <c r="D240" s="509">
        <f>($D$234*$D$235*$D$236+$D$237*$D$238*$D$239/1000000)/2000</f>
        <v>7.2737208179999993</v>
      </c>
      <c r="E240" s="509">
        <f>($E$234*$E$235*$E$236+$E$237*$E$238*$E$239/1000000)/2000</f>
        <v>0.56782080450000005</v>
      </c>
      <c r="F240" s="509">
        <f>($F$234*$F$235*$F$236+$F$237*$F$238*$F$239/1000000)/2000</f>
        <v>9.1765939969979993</v>
      </c>
      <c r="G240" s="509">
        <f>($G$234*$G$235*$G$236+$G$237*$G$238*$G$239/1000000)/2000</f>
        <v>8.4578841592379987</v>
      </c>
      <c r="H240" s="509">
        <f>($H$234*$H$235*$H$236+$H$237*$H$238*$H$239/1000000)/2000</f>
        <v>8.9915849361000006</v>
      </c>
      <c r="I240" s="509">
        <f>($I$234*$I$235*$I$236+$I$237*$I$238*$I$239/1000000)/2000</f>
        <v>10.599090914699998</v>
      </c>
      <c r="J240" s="508"/>
    </row>
    <row r="241" spans="1:10" ht="21" customHeight="1">
      <c r="A241" s="507" t="s">
        <v>591</v>
      </c>
      <c r="B241" s="508" t="s">
        <v>609</v>
      </c>
      <c r="C241" s="508" t="s">
        <v>411</v>
      </c>
      <c r="D241" s="509">
        <f>$D$224</f>
        <v>0</v>
      </c>
      <c r="E241" s="509">
        <f>$E$224</f>
        <v>1967839.86</v>
      </c>
      <c r="F241" s="509">
        <f>$F$224</f>
        <v>2316600.3000000003</v>
      </c>
      <c r="G241" s="509">
        <f>$G$224</f>
        <v>71616.72</v>
      </c>
      <c r="H241" s="509">
        <f>$H$224</f>
        <v>692202.42</v>
      </c>
      <c r="I241" s="509">
        <f>$I$224</f>
        <v>490512.54</v>
      </c>
      <c r="J241" s="508" t="s">
        <v>145</v>
      </c>
    </row>
    <row r="242" spans="1:10" ht="21" customHeight="1">
      <c r="A242" s="507" t="s">
        <v>591</v>
      </c>
      <c r="B242" s="508" t="s">
        <v>610</v>
      </c>
      <c r="C242" s="508" t="s">
        <v>397</v>
      </c>
      <c r="D242" s="509">
        <v>0.15</v>
      </c>
      <c r="E242" s="509">
        <v>0.15</v>
      </c>
      <c r="F242" s="509">
        <v>0.15</v>
      </c>
      <c r="G242" s="509">
        <v>0.15</v>
      </c>
      <c r="H242" s="509">
        <v>0.15</v>
      </c>
      <c r="I242" s="509">
        <f>'CS 5'!E32</f>
        <v>0.15</v>
      </c>
      <c r="J242" s="508" t="s">
        <v>145</v>
      </c>
    </row>
    <row r="243" spans="1:10" ht="21" customHeight="1">
      <c r="A243" s="507" t="s">
        <v>591</v>
      </c>
      <c r="B243" s="508" t="s">
        <v>611</v>
      </c>
      <c r="C243" s="508" t="s">
        <v>411</v>
      </c>
      <c r="D243" s="509">
        <f>$D$210</f>
        <v>1.2999999999999999E-3</v>
      </c>
      <c r="E243" s="509">
        <f>$E$210</f>
        <v>1.2999999999999999E-3</v>
      </c>
      <c r="F243" s="509">
        <f>$F$210</f>
        <v>1.2999999999999999E-3</v>
      </c>
      <c r="G243" s="509">
        <f>$G$210</f>
        <v>1.2999999999999999E-3</v>
      </c>
      <c r="H243" s="509">
        <f>$H$210</f>
        <v>1.2999999999999999E-3</v>
      </c>
      <c r="I243" s="509">
        <f>$I$210</f>
        <v>1.2999999999999999E-3</v>
      </c>
      <c r="J243" s="508" t="s">
        <v>145</v>
      </c>
    </row>
    <row r="244" spans="1:10" ht="21" customHeight="1">
      <c r="A244" s="507" t="s">
        <v>591</v>
      </c>
      <c r="B244" s="508" t="s">
        <v>612</v>
      </c>
      <c r="C244" s="508" t="s">
        <v>411</v>
      </c>
      <c r="D244" s="509">
        <f>$D$225</f>
        <v>1554213850</v>
      </c>
      <c r="E244" s="509">
        <f>$E$225</f>
        <v>1492830</v>
      </c>
      <c r="F244" s="509">
        <f>$F$225</f>
        <v>1819735664.8499999</v>
      </c>
      <c r="G244" s="509">
        <f>$G$225</f>
        <v>1802878930.3499999</v>
      </c>
      <c r="H244" s="509">
        <f>$H$225</f>
        <v>1879125480</v>
      </c>
      <c r="I244" s="509">
        <f>$I$225</f>
        <v>2234892060</v>
      </c>
      <c r="J244" s="508" t="s">
        <v>145</v>
      </c>
    </row>
    <row r="245" spans="1:10" ht="21" customHeight="1">
      <c r="A245" s="507" t="s">
        <v>591</v>
      </c>
      <c r="B245" s="508" t="s">
        <v>613</v>
      </c>
      <c r="C245" s="508" t="s">
        <v>397</v>
      </c>
      <c r="D245" s="509">
        <v>1040</v>
      </c>
      <c r="E245" s="509">
        <v>1040</v>
      </c>
      <c r="F245" s="509">
        <v>1040</v>
      </c>
      <c r="G245" s="509">
        <v>1040</v>
      </c>
      <c r="H245" s="509">
        <v>1040</v>
      </c>
      <c r="I245" s="509">
        <f>'CS 5'!O32</f>
        <v>1040</v>
      </c>
      <c r="J245" s="508" t="s">
        <v>145</v>
      </c>
    </row>
    <row r="246" spans="1:10" ht="21" customHeight="1">
      <c r="A246" s="507" t="s">
        <v>591</v>
      </c>
      <c r="B246" s="508" t="s">
        <v>614</v>
      </c>
      <c r="C246" s="508" t="s">
        <v>411</v>
      </c>
      <c r="D246" s="509">
        <f>$D$209</f>
        <v>8.0000000000000004E-4</v>
      </c>
      <c r="E246" s="509">
        <f>$E$209</f>
        <v>8.0000000000000004E-4</v>
      </c>
      <c r="F246" s="509">
        <f>$F$209</f>
        <v>8.0000000000000004E-4</v>
      </c>
      <c r="G246" s="509">
        <f>$G$209</f>
        <v>8.0000000000000004E-4</v>
      </c>
      <c r="H246" s="509">
        <f>$H$209</f>
        <v>8.0000000000000004E-4</v>
      </c>
      <c r="I246" s="509">
        <f>$I$209</f>
        <v>8.0000000000000004E-4</v>
      </c>
      <c r="J246" s="508" t="s">
        <v>145</v>
      </c>
    </row>
    <row r="247" spans="1:10" ht="21" customHeight="1">
      <c r="A247" s="507" t="s">
        <v>591</v>
      </c>
      <c r="B247" s="508" t="s">
        <v>615</v>
      </c>
      <c r="C247" s="508" t="s">
        <v>411</v>
      </c>
      <c r="D247" s="509">
        <f>($D$241*$D$242*$D$243+$D$244*$D$245*$D$246/1000000)/2000</f>
        <v>0.64655296159999998</v>
      </c>
      <c r="E247" s="509">
        <f>($E$241*$E$242*$E$243+$E$244*$E$245*$E$246/1000000)/2000</f>
        <v>0.19248540362999997</v>
      </c>
      <c r="F247" s="509">
        <f>($F$241*$F$242*$F$243+$F$244*$F$245*$F$246/1000000)/2000</f>
        <v>0.98287856582760003</v>
      </c>
      <c r="G247" s="509">
        <f>($G$241*$G$242*$G$243+$G$244*$G$245*$G$246/1000000)/2000</f>
        <v>0.75698026522560002</v>
      </c>
      <c r="H247" s="509">
        <f>($H$241*$H$242*$H$243+$H$244*$H$245*$H$246/1000000)/2000</f>
        <v>0.84920593563000002</v>
      </c>
      <c r="I247" s="509">
        <f>($I$241*$I$242*$I$243+$I$244*$I$245*$I$246/1000000)/2000</f>
        <v>0.97754006960999995</v>
      </c>
      <c r="J247" s="508"/>
    </row>
    <row r="248" spans="1:10" ht="21" customHeight="1">
      <c r="A248" s="507" t="s">
        <v>591</v>
      </c>
      <c r="B248" s="508" t="s">
        <v>616</v>
      </c>
      <c r="C248" s="508" t="s">
        <v>411</v>
      </c>
      <c r="D248" s="509">
        <f>$D$224</f>
        <v>0</v>
      </c>
      <c r="E248" s="509">
        <f>$E$224</f>
        <v>1967839.86</v>
      </c>
      <c r="F248" s="509">
        <f>$F$224</f>
        <v>2316600.3000000003</v>
      </c>
      <c r="G248" s="509">
        <f>$G$224</f>
        <v>71616.72</v>
      </c>
      <c r="H248" s="509">
        <f>$H$224</f>
        <v>692202.42</v>
      </c>
      <c r="I248" s="509">
        <f>$I$224</f>
        <v>490512.54</v>
      </c>
      <c r="J248" s="508" t="s">
        <v>146</v>
      </c>
    </row>
    <row r="249" spans="1:10" ht="21" customHeight="1">
      <c r="A249" s="507" t="s">
        <v>591</v>
      </c>
      <c r="B249" s="508" t="s">
        <v>617</v>
      </c>
      <c r="C249" s="508" t="s">
        <v>397</v>
      </c>
      <c r="D249" s="509">
        <v>0.15</v>
      </c>
      <c r="E249" s="509">
        <v>0.15</v>
      </c>
      <c r="F249" s="509">
        <v>0.15</v>
      </c>
      <c r="G249" s="509">
        <v>0.15</v>
      </c>
      <c r="H249" s="509">
        <v>0.15</v>
      </c>
      <c r="I249" s="509">
        <f>'CS 5'!E38</f>
        <v>0.15</v>
      </c>
      <c r="J249" s="508" t="s">
        <v>146</v>
      </c>
    </row>
    <row r="250" spans="1:10" ht="21" customHeight="1">
      <c r="A250" s="507" t="s">
        <v>591</v>
      </c>
      <c r="B250" s="508" t="s">
        <v>618</v>
      </c>
      <c r="C250" s="508" t="s">
        <v>411</v>
      </c>
      <c r="D250" s="509">
        <f>$D$212</f>
        <v>2.75E-2</v>
      </c>
      <c r="E250" s="509">
        <f>$E$212</f>
        <v>2.75E-2</v>
      </c>
      <c r="F250" s="509">
        <f>$F$212</f>
        <v>2.75E-2</v>
      </c>
      <c r="G250" s="509">
        <f>$G$212</f>
        <v>2.75E-2</v>
      </c>
      <c r="H250" s="509">
        <f>$H$212</f>
        <v>2.75E-2</v>
      </c>
      <c r="I250" s="509">
        <f>$I$212</f>
        <v>2.75E-2</v>
      </c>
      <c r="J250" s="508" t="s">
        <v>146</v>
      </c>
    </row>
    <row r="251" spans="1:10" ht="21" customHeight="1">
      <c r="A251" s="507" t="s">
        <v>591</v>
      </c>
      <c r="B251" s="508" t="s">
        <v>619</v>
      </c>
      <c r="C251" s="508" t="s">
        <v>411</v>
      </c>
      <c r="D251" s="509">
        <f>$D$225</f>
        <v>1554213850</v>
      </c>
      <c r="E251" s="509">
        <f>$E$225</f>
        <v>1492830</v>
      </c>
      <c r="F251" s="509">
        <f>$F$225</f>
        <v>1819735664.8499999</v>
      </c>
      <c r="G251" s="509">
        <f>$G$225</f>
        <v>1802878930.3499999</v>
      </c>
      <c r="H251" s="509">
        <f>$H$225</f>
        <v>1879125480</v>
      </c>
      <c r="I251" s="509">
        <f>$I$225</f>
        <v>2234892060</v>
      </c>
      <c r="J251" s="508" t="s">
        <v>146</v>
      </c>
    </row>
    <row r="252" spans="1:10" ht="21" customHeight="1">
      <c r="A252" s="507" t="s">
        <v>591</v>
      </c>
      <c r="B252" s="508" t="s">
        <v>620</v>
      </c>
      <c r="C252" s="508" t="s">
        <v>397</v>
      </c>
      <c r="D252" s="509">
        <v>1040</v>
      </c>
      <c r="E252" s="509">
        <v>1040</v>
      </c>
      <c r="F252" s="509">
        <v>1040</v>
      </c>
      <c r="G252" s="509">
        <v>1040</v>
      </c>
      <c r="H252" s="509">
        <v>1040</v>
      </c>
      <c r="I252" s="509">
        <f>'CS 5'!O38</f>
        <v>1040</v>
      </c>
      <c r="J252" s="508" t="s">
        <v>146</v>
      </c>
    </row>
    <row r="253" spans="1:10" ht="21" customHeight="1">
      <c r="A253" s="507" t="s">
        <v>591</v>
      </c>
      <c r="B253" s="508" t="s">
        <v>621</v>
      </c>
      <c r="C253" s="508" t="s">
        <v>411</v>
      </c>
      <c r="D253" s="509">
        <f>$D$211</f>
        <v>5.0000000000000001E-3</v>
      </c>
      <c r="E253" s="509">
        <f>$E$211</f>
        <v>5.0000000000000001E-3</v>
      </c>
      <c r="F253" s="509">
        <f>$F$211</f>
        <v>5.0000000000000001E-3</v>
      </c>
      <c r="G253" s="509">
        <f>$G$211</f>
        <v>5.0000000000000001E-3</v>
      </c>
      <c r="H253" s="509">
        <f>$H$211</f>
        <v>5.0000000000000001E-3</v>
      </c>
      <c r="I253" s="509">
        <f>$I$211</f>
        <v>5.0000000000000001E-3</v>
      </c>
      <c r="J253" s="508" t="s">
        <v>146</v>
      </c>
    </row>
    <row r="254" spans="1:10" ht="21" customHeight="1">
      <c r="A254" s="507" t="s">
        <v>591</v>
      </c>
      <c r="B254" s="508" t="s">
        <v>622</v>
      </c>
      <c r="C254" s="508" t="s">
        <v>411</v>
      </c>
      <c r="D254" s="509">
        <f>($D$248*$D$249*$D$250+$D$251*$D$252*$D$253/1000000)/2000</f>
        <v>4.0409560099999995</v>
      </c>
      <c r="E254" s="509">
        <f>($E$248*$E$249*$E$250+$E$251*$E$252*$E$253/1000000)/2000</f>
        <v>4.0625510692500004</v>
      </c>
      <c r="F254" s="509">
        <f>($F$248*$F$249*$F$250+$F$251*$F$252*$F$253/1000000)/2000</f>
        <v>9.5093008473600005</v>
      </c>
      <c r="G254" s="509">
        <f>($G$248*$G$249*$G$250+$G$251*$G$252*$G$253/1000000)/2000</f>
        <v>4.8351947039100001</v>
      </c>
      <c r="H254" s="509">
        <f>($H$248*$H$249*$H$250+$H$251*$H$252*$H$253/1000000)/2000</f>
        <v>6.3133937392500004</v>
      </c>
      <c r="I254" s="509">
        <f>($I$248*$I$249*$I$250+$I$251*$I$252*$I$253/1000000)/2000</f>
        <v>6.8224014697499999</v>
      </c>
      <c r="J254" s="508"/>
    </row>
    <row r="255" spans="1:10" ht="21" customHeight="1">
      <c r="A255" s="507" t="s">
        <v>591</v>
      </c>
      <c r="B255" s="508" t="s">
        <v>521</v>
      </c>
      <c r="C255" s="508" t="s">
        <v>411</v>
      </c>
      <c r="D255" s="509">
        <f>$D$224</f>
        <v>0</v>
      </c>
      <c r="E255" s="509">
        <f>$E$224</f>
        <v>1967839.86</v>
      </c>
      <c r="F255" s="509">
        <f>$F$224</f>
        <v>2316600.3000000003</v>
      </c>
      <c r="G255" s="509">
        <f>$G$224</f>
        <v>71616.72</v>
      </c>
      <c r="H255" s="509">
        <f>$H$224</f>
        <v>692202.42</v>
      </c>
      <c r="I255" s="509">
        <f>$I$224</f>
        <v>490512.54</v>
      </c>
      <c r="J255" s="508" t="s">
        <v>147</v>
      </c>
    </row>
    <row r="256" spans="1:10" ht="21" customHeight="1">
      <c r="A256" s="507" t="s">
        <v>591</v>
      </c>
      <c r="B256" s="508" t="s">
        <v>623</v>
      </c>
      <c r="C256" s="508" t="s">
        <v>397</v>
      </c>
      <c r="D256" s="509">
        <v>0.15</v>
      </c>
      <c r="E256" s="509">
        <v>0.15</v>
      </c>
      <c r="F256" s="509">
        <v>0.15</v>
      </c>
      <c r="G256" s="509">
        <v>0.15</v>
      </c>
      <c r="H256" s="509">
        <v>0.15</v>
      </c>
      <c r="I256" s="509">
        <f>'CS 5'!E44</f>
        <v>0.15</v>
      </c>
      <c r="J256" s="508" t="s">
        <v>147</v>
      </c>
    </row>
    <row r="257" spans="1:10" ht="21" customHeight="1">
      <c r="A257" s="507" t="s">
        <v>591</v>
      </c>
      <c r="B257" s="508" t="s">
        <v>624</v>
      </c>
      <c r="C257" s="508" t="s">
        <v>411</v>
      </c>
      <c r="D257" s="509">
        <f>$D$214</f>
        <v>0.04</v>
      </c>
      <c r="E257" s="509">
        <f>$E$214</f>
        <v>0.04</v>
      </c>
      <c r="F257" s="509">
        <f>$F$214</f>
        <v>0.04</v>
      </c>
      <c r="G257" s="509">
        <f>$G$214</f>
        <v>0.04</v>
      </c>
      <c r="H257" s="509">
        <f>$H$214</f>
        <v>0.04</v>
      </c>
      <c r="I257" s="509">
        <f>$I$214</f>
        <v>0.04</v>
      </c>
      <c r="J257" s="508" t="s">
        <v>147</v>
      </c>
    </row>
    <row r="258" spans="1:10" ht="21" customHeight="1">
      <c r="A258" s="507" t="s">
        <v>591</v>
      </c>
      <c r="B258" s="508" t="s">
        <v>625</v>
      </c>
      <c r="C258" s="508" t="s">
        <v>411</v>
      </c>
      <c r="D258" s="509">
        <f>$D$225</f>
        <v>1554213850</v>
      </c>
      <c r="E258" s="509">
        <f>$E$225</f>
        <v>1492830</v>
      </c>
      <c r="F258" s="509">
        <f>$F$225</f>
        <v>1819735664.8499999</v>
      </c>
      <c r="G258" s="509">
        <f>$G$225</f>
        <v>1802878930.3499999</v>
      </c>
      <c r="H258" s="509">
        <f>$H$225</f>
        <v>1879125480</v>
      </c>
      <c r="I258" s="509">
        <f>$I$225</f>
        <v>2234892060</v>
      </c>
      <c r="J258" s="508" t="s">
        <v>147</v>
      </c>
    </row>
    <row r="259" spans="1:10" ht="21" customHeight="1">
      <c r="A259" s="507" t="s">
        <v>591</v>
      </c>
      <c r="B259" s="508" t="s">
        <v>626</v>
      </c>
      <c r="C259" s="508" t="s">
        <v>397</v>
      </c>
      <c r="D259" s="509">
        <v>1040</v>
      </c>
      <c r="E259" s="509">
        <v>1040</v>
      </c>
      <c r="F259" s="509">
        <v>1040</v>
      </c>
      <c r="G259" s="509">
        <v>1040</v>
      </c>
      <c r="H259" s="509">
        <v>1040</v>
      </c>
      <c r="I259" s="509">
        <f>'CS 5'!O44</f>
        <v>1040</v>
      </c>
      <c r="J259" s="508" t="s">
        <v>147</v>
      </c>
    </row>
    <row r="260" spans="1:10" ht="21" customHeight="1">
      <c r="A260" s="507" t="s">
        <v>591</v>
      </c>
      <c r="B260" s="508" t="s">
        <v>627</v>
      </c>
      <c r="C260" s="508" t="s">
        <v>411</v>
      </c>
      <c r="D260" s="509">
        <f>$D$213</f>
        <v>8.0999999999999996E-3</v>
      </c>
      <c r="E260" s="509">
        <f>$E$213</f>
        <v>8.0999999999999996E-3</v>
      </c>
      <c r="F260" s="509">
        <f>$F$213</f>
        <v>8.0999999999999996E-3</v>
      </c>
      <c r="G260" s="509">
        <f>$G$213</f>
        <v>8.0999999999999996E-3</v>
      </c>
      <c r="H260" s="509">
        <f>$H$213</f>
        <v>8.0999999999999996E-3</v>
      </c>
      <c r="I260" s="509">
        <f>$I$213</f>
        <v>8.0999999999999996E-3</v>
      </c>
      <c r="J260" s="508" t="s">
        <v>147</v>
      </c>
    </row>
    <row r="261" spans="1:10" ht="21" customHeight="1">
      <c r="A261" s="507" t="s">
        <v>591</v>
      </c>
      <c r="B261" s="508" t="s">
        <v>527</v>
      </c>
      <c r="C261" s="508" t="s">
        <v>411</v>
      </c>
      <c r="D261" s="509">
        <f>($D$255*$D$256*$D$257+$D$258*$D$259*$D$260/1000000)/2000</f>
        <v>6.5463487361999997</v>
      </c>
      <c r="E261" s="509">
        <f>($E$255*$E$256*$E$257+$E$258*$E$259*$E$260/1000000)/2000</f>
        <v>5.9098073799599993</v>
      </c>
      <c r="F261" s="509">
        <f>($F$255*$F$256*$F$257+$F$258*$F$259*$F$260/1000000)/2000</f>
        <v>14.614527520348201</v>
      </c>
      <c r="G261" s="509">
        <f>($G$255*$G$256*$G$257+$G$258*$G$259*$G$260/1000000)/2000</f>
        <v>7.8085762146341997</v>
      </c>
      <c r="H261" s="509">
        <f>($H$255*$H$256*$H$257+$H$258*$H$259*$H$260/1000000)/2000</f>
        <v>9.9914837817599977</v>
      </c>
      <c r="I261" s="509">
        <f>($I$255*$I$256*$I$257+$I$258*$I$259*$I$260/1000000)/2000</f>
        <v>10.884902976719999</v>
      </c>
      <c r="J261" s="508"/>
    </row>
    <row r="262" spans="1:10" ht="21" customHeight="1">
      <c r="A262" s="507" t="s">
        <v>591</v>
      </c>
      <c r="B262" s="508" t="s">
        <v>628</v>
      </c>
      <c r="C262" s="508" t="s">
        <v>411</v>
      </c>
      <c r="D262" s="509">
        <f>$D$224</f>
        <v>0</v>
      </c>
      <c r="E262" s="509">
        <f>$E$224</f>
        <v>1967839.86</v>
      </c>
      <c r="F262" s="509">
        <f>$F$224</f>
        <v>2316600.3000000003</v>
      </c>
      <c r="G262" s="509">
        <f>$G$224</f>
        <v>71616.72</v>
      </c>
      <c r="H262" s="509">
        <f>$H$224</f>
        <v>692202.42</v>
      </c>
      <c r="I262" s="509">
        <f>$I$224</f>
        <v>490512.54</v>
      </c>
      <c r="J262" s="508" t="s">
        <v>148</v>
      </c>
    </row>
    <row r="263" spans="1:10" ht="21" customHeight="1">
      <c r="A263" s="507" t="s">
        <v>591</v>
      </c>
      <c r="B263" s="508" t="s">
        <v>629</v>
      </c>
      <c r="C263" s="508" t="s">
        <v>397</v>
      </c>
      <c r="D263" s="509">
        <v>0.15</v>
      </c>
      <c r="E263" s="509">
        <v>0.15</v>
      </c>
      <c r="F263" s="509">
        <v>0.15</v>
      </c>
      <c r="G263" s="509">
        <v>0.15</v>
      </c>
      <c r="H263" s="509">
        <v>0.15</v>
      </c>
      <c r="I263" s="509">
        <f>'CS 5'!E50</f>
        <v>0.15</v>
      </c>
      <c r="J263" s="508" t="s">
        <v>148</v>
      </c>
    </row>
    <row r="264" spans="1:10" ht="21" customHeight="1">
      <c r="A264" s="507" t="s">
        <v>591</v>
      </c>
      <c r="B264" s="508" t="s">
        <v>630</v>
      </c>
      <c r="C264" s="508" t="s">
        <v>411</v>
      </c>
      <c r="D264" s="509">
        <f>$D$216</f>
        <v>3.3000000000000002E-2</v>
      </c>
      <c r="E264" s="509">
        <f>$E$216</f>
        <v>3.3000000000000002E-2</v>
      </c>
      <c r="F264" s="509">
        <f>$F$216</f>
        <v>3.3000000000000002E-2</v>
      </c>
      <c r="G264" s="509">
        <f>$G$216</f>
        <v>3.3000000000000002E-2</v>
      </c>
      <c r="H264" s="509">
        <f>$H$216</f>
        <v>3.3000000000000002E-2</v>
      </c>
      <c r="I264" s="509">
        <f>$I$216</f>
        <v>3.3000000000000002E-2</v>
      </c>
      <c r="J264" s="508" t="s">
        <v>148</v>
      </c>
    </row>
    <row r="265" spans="1:10" ht="21" customHeight="1">
      <c r="A265" s="507" t="s">
        <v>591</v>
      </c>
      <c r="B265" s="508" t="s">
        <v>631</v>
      </c>
      <c r="C265" s="508" t="s">
        <v>411</v>
      </c>
      <c r="D265" s="509">
        <f>$D$225</f>
        <v>1554213850</v>
      </c>
      <c r="E265" s="509">
        <f>$E$225</f>
        <v>1492830</v>
      </c>
      <c r="F265" s="509">
        <f>$F$225</f>
        <v>1819735664.8499999</v>
      </c>
      <c r="G265" s="509">
        <f>$G$225</f>
        <v>1802878930.3499999</v>
      </c>
      <c r="H265" s="509">
        <f>$H$225</f>
        <v>1879125480</v>
      </c>
      <c r="I265" s="509">
        <f>$I$225</f>
        <v>2234892060</v>
      </c>
      <c r="J265" s="508" t="s">
        <v>148</v>
      </c>
    </row>
    <row r="266" spans="1:10" ht="21" customHeight="1">
      <c r="A266" s="507" t="s">
        <v>591</v>
      </c>
      <c r="B266" s="508" t="s">
        <v>632</v>
      </c>
      <c r="C266" s="508" t="s">
        <v>397</v>
      </c>
      <c r="D266" s="509">
        <v>1040</v>
      </c>
      <c r="E266" s="509">
        <v>1040</v>
      </c>
      <c r="F266" s="509">
        <v>1040</v>
      </c>
      <c r="G266" s="509">
        <v>1040</v>
      </c>
      <c r="H266" s="509">
        <v>1040</v>
      </c>
      <c r="I266" s="509">
        <f>'CS 5'!O50</f>
        <v>1040</v>
      </c>
      <c r="J266" s="508" t="s">
        <v>148</v>
      </c>
    </row>
    <row r="267" spans="1:10" ht="21" customHeight="1">
      <c r="A267" s="507" t="s">
        <v>591</v>
      </c>
      <c r="B267" s="508" t="s">
        <v>633</v>
      </c>
      <c r="C267" s="508" t="s">
        <v>411</v>
      </c>
      <c r="D267" s="509">
        <f>$D$215</f>
        <v>7.4999999999999997E-3</v>
      </c>
      <c r="E267" s="509">
        <f>$E$215</f>
        <v>7.4999999999999997E-3</v>
      </c>
      <c r="F267" s="509">
        <f>$F$215</f>
        <v>7.4999999999999997E-3</v>
      </c>
      <c r="G267" s="509">
        <f>$G$215</f>
        <v>7.4999999999999997E-3</v>
      </c>
      <c r="H267" s="509">
        <f>$H$215</f>
        <v>7.4999999999999997E-3</v>
      </c>
      <c r="I267" s="509">
        <f>$I$215</f>
        <v>7.4999999999999997E-3</v>
      </c>
      <c r="J267" s="508" t="s">
        <v>148</v>
      </c>
    </row>
    <row r="268" spans="1:10" ht="21" customHeight="1">
      <c r="A268" s="507" t="s">
        <v>591</v>
      </c>
      <c r="B268" s="508" t="s">
        <v>634</v>
      </c>
      <c r="C268" s="508" t="s">
        <v>411</v>
      </c>
      <c r="D268" s="509">
        <f>($D$262*$D$263*$D$264+$D$265*$D$266*$D$267/1000000)/2000</f>
        <v>6.0614340149999997</v>
      </c>
      <c r="E268" s="509">
        <f>($E$262*$E$263*$E$264+$E$265*$E$266*$E$267/1000000)/2000</f>
        <v>4.8762256905000001</v>
      </c>
      <c r="F268" s="509">
        <f>($F$262*$F$263*$F$264+$F$265*$F$266*$F$267/1000000)/2000</f>
        <v>12.830554835415002</v>
      </c>
      <c r="G268" s="509">
        <f>($G$262*$G$263*$G$264+$G$265*$G$266*$G$267/1000000)/2000</f>
        <v>7.2084792103649997</v>
      </c>
      <c r="H268" s="509">
        <f>($H$262*$H$263*$H$264+$H$265*$H$266*$H$267/1000000)/2000</f>
        <v>9.0417903615000004</v>
      </c>
      <c r="I268" s="509">
        <f>($I$262*$I$263*$I$264+$I$265*$I$266*$I$267/1000000)/2000</f>
        <v>9.9300975704999992</v>
      </c>
      <c r="J268" s="508"/>
    </row>
    <row r="269" spans="1:10" ht="21" customHeight="1">
      <c r="A269" s="507" t="s">
        <v>591</v>
      </c>
      <c r="B269" s="508" t="s">
        <v>635</v>
      </c>
      <c r="C269" s="508" t="s">
        <v>411</v>
      </c>
      <c r="D269" s="509">
        <f>$D$224</f>
        <v>0</v>
      </c>
      <c r="E269" s="509">
        <f>$E$224</f>
        <v>1967839.86</v>
      </c>
      <c r="F269" s="509">
        <f>$F$224</f>
        <v>2316600.3000000003</v>
      </c>
      <c r="G269" s="509">
        <f>$G$224</f>
        <v>71616.72</v>
      </c>
      <c r="H269" s="509">
        <f>$H$224</f>
        <v>692202.42</v>
      </c>
      <c r="I269" s="509">
        <f>$I$224</f>
        <v>490512.54</v>
      </c>
      <c r="J269" s="508" t="s">
        <v>149</v>
      </c>
    </row>
    <row r="270" spans="1:10" ht="21" customHeight="1">
      <c r="A270" s="507" t="s">
        <v>591</v>
      </c>
      <c r="B270" s="508" t="s">
        <v>636</v>
      </c>
      <c r="C270" s="508" t="s">
        <v>411</v>
      </c>
      <c r="D270" s="509">
        <f>(157)*$D$226</f>
        <v>73.789999999999992</v>
      </c>
      <c r="E270" s="509">
        <f>(157)*$E$226</f>
        <v>73.789999999999992</v>
      </c>
      <c r="F270" s="509">
        <f>(157)*$F$226</f>
        <v>75.36</v>
      </c>
      <c r="G270" s="509">
        <f>(157)*$G$226</f>
        <v>75.36</v>
      </c>
      <c r="H270" s="509">
        <f>(157)*$H$226</f>
        <v>76.929999999999993</v>
      </c>
      <c r="I270" s="509">
        <f>(157)*$I$226</f>
        <v>73.789999999999992</v>
      </c>
      <c r="J270" s="508" t="s">
        <v>149</v>
      </c>
    </row>
    <row r="271" spans="1:10" ht="21" customHeight="1">
      <c r="A271" s="507" t="s">
        <v>591</v>
      </c>
      <c r="B271" s="508" t="s">
        <v>637</v>
      </c>
      <c r="C271" s="508" t="s">
        <v>411</v>
      </c>
      <c r="D271" s="509">
        <f>$D$225</f>
        <v>1554213850</v>
      </c>
      <c r="E271" s="509">
        <f>$E$225</f>
        <v>1492830</v>
      </c>
      <c r="F271" s="509">
        <f>$F$225</f>
        <v>1819735664.8499999</v>
      </c>
      <c r="G271" s="509">
        <f>$G$225</f>
        <v>1802878930.3499999</v>
      </c>
      <c r="H271" s="509">
        <f>$H$225</f>
        <v>1879125480</v>
      </c>
      <c r="I271" s="509">
        <f>$I$225</f>
        <v>2234892060</v>
      </c>
      <c r="J271" s="508" t="s">
        <v>149</v>
      </c>
    </row>
    <row r="272" spans="1:10" ht="21" customHeight="1">
      <c r="A272" s="507" t="s">
        <v>591</v>
      </c>
      <c r="B272" s="508" t="s">
        <v>638</v>
      </c>
      <c r="C272" s="508" t="s">
        <v>397</v>
      </c>
      <c r="D272" s="509">
        <v>1040</v>
      </c>
      <c r="E272" s="509">
        <v>1040</v>
      </c>
      <c r="F272" s="509">
        <v>1040</v>
      </c>
      <c r="G272" s="509">
        <v>1040</v>
      </c>
      <c r="H272" s="509">
        <v>1040</v>
      </c>
      <c r="I272" s="509">
        <f>'CS 5'!O56</f>
        <v>1040</v>
      </c>
      <c r="J272" s="508" t="s">
        <v>149</v>
      </c>
    </row>
    <row r="273" spans="1:10" ht="21" customHeight="1">
      <c r="A273" s="507" t="s">
        <v>591</v>
      </c>
      <c r="B273" s="508" t="s">
        <v>639</v>
      </c>
      <c r="C273" s="508" t="s">
        <v>411</v>
      </c>
      <c r="D273" s="509">
        <f>$D$217</f>
        <v>4.0000000000000001E-3</v>
      </c>
      <c r="E273" s="509">
        <f>$E$217</f>
        <v>4.0000000000000001E-3</v>
      </c>
      <c r="F273" s="509">
        <f>$F$217</f>
        <v>4.0000000000000001E-3</v>
      </c>
      <c r="G273" s="509">
        <f>$G$217</f>
        <v>4.0000000000000001E-3</v>
      </c>
      <c r="H273" s="509">
        <f>$H$217</f>
        <v>4.0000000000000001E-3</v>
      </c>
      <c r="I273" s="509">
        <f>$I$217</f>
        <v>4.0000000000000001E-3</v>
      </c>
      <c r="J273" s="508" t="s">
        <v>149</v>
      </c>
    </row>
    <row r="274" spans="1:10" ht="21" customHeight="1">
      <c r="A274" s="507" t="s">
        <v>591</v>
      </c>
      <c r="B274" s="508" t="s">
        <v>640</v>
      </c>
      <c r="C274" s="508" t="s">
        <v>397</v>
      </c>
      <c r="D274" s="509">
        <v>1000</v>
      </c>
      <c r="E274" s="509">
        <v>1000</v>
      </c>
      <c r="F274" s="509">
        <v>1000</v>
      </c>
      <c r="G274" s="509">
        <v>1000</v>
      </c>
      <c r="H274" s="509">
        <v>1000</v>
      </c>
      <c r="I274" s="509">
        <f>'CS 5'!H57</f>
        <v>1000</v>
      </c>
      <c r="J274" s="508"/>
    </row>
    <row r="275" spans="1:10" ht="21" customHeight="1">
      <c r="A275" s="507" t="s">
        <v>591</v>
      </c>
      <c r="B275" s="508" t="s">
        <v>641</v>
      </c>
      <c r="C275" s="508" t="s">
        <v>411</v>
      </c>
      <c r="D275" s="509">
        <f>($D$269*$D$270/$D$274+$D$271*$D$272*$D$273/1000000)/2000</f>
        <v>3.2327648079999998</v>
      </c>
      <c r="E275" s="509">
        <f>($E$269*$E$270/$E$274+$E$271*$E$272*$E$273/1000000)/2000</f>
        <v>72.606556721100006</v>
      </c>
      <c r="F275" s="509">
        <f>($F$269*$F$270/$F$274+$F$271*$F$272*$F$273/1000000)/2000</f>
        <v>91.074549486888003</v>
      </c>
      <c r="G275" s="509">
        <f>($G$269*$G$270/$G$274+$G$271*$G$272*$G$273/1000000)/2000</f>
        <v>6.4485061847280001</v>
      </c>
      <c r="H275" s="509">
        <f>($H$269*$H$270/$H$274+$H$271*$H$272*$H$273/1000000)/2000</f>
        <v>30.534147083699999</v>
      </c>
      <c r="I275" s="509">
        <f>($I$269*$I$270/$I$274+$I$271*$I$272*$I$273/1000000)/2000</f>
        <v>22.746035648099994</v>
      </c>
      <c r="J275" s="508"/>
    </row>
    <row r="276" spans="1:10" ht="21" customHeight="1">
      <c r="A276" s="507" t="s">
        <v>591</v>
      </c>
      <c r="B276" s="508" t="s">
        <v>581</v>
      </c>
      <c r="C276" s="508" t="s">
        <v>411</v>
      </c>
      <c r="D276" s="509">
        <f>$D$224</f>
        <v>0</v>
      </c>
      <c r="E276" s="509">
        <f>$E$224</f>
        <v>1967839.86</v>
      </c>
      <c r="F276" s="509">
        <f>$F$224</f>
        <v>2316600.3000000003</v>
      </c>
      <c r="G276" s="509">
        <f>$G$224</f>
        <v>71616.72</v>
      </c>
      <c r="H276" s="509">
        <f>$H$224</f>
        <v>692202.42</v>
      </c>
      <c r="I276" s="509">
        <f>$I$224</f>
        <v>490512.54</v>
      </c>
      <c r="J276" s="508" t="s">
        <v>151</v>
      </c>
    </row>
    <row r="277" spans="1:10" ht="21" customHeight="1">
      <c r="A277" s="507" t="s">
        <v>591</v>
      </c>
      <c r="B277" s="508" t="s">
        <v>642</v>
      </c>
      <c r="C277" s="508" t="s">
        <v>397</v>
      </c>
      <c r="D277" s="509">
        <v>0.15</v>
      </c>
      <c r="E277" s="509">
        <v>0.15</v>
      </c>
      <c r="F277" s="509">
        <v>0.15</v>
      </c>
      <c r="G277" s="509">
        <v>0.15</v>
      </c>
      <c r="H277" s="509">
        <v>0.15</v>
      </c>
      <c r="I277" s="509">
        <f>'CS 5'!E62</f>
        <v>0.15</v>
      </c>
      <c r="J277" s="508" t="s">
        <v>151</v>
      </c>
    </row>
    <row r="278" spans="1:10" ht="21" customHeight="1">
      <c r="A278" s="507" t="s">
        <v>591</v>
      </c>
      <c r="B278" s="508" t="s">
        <v>643</v>
      </c>
      <c r="C278" s="508" t="s">
        <v>411</v>
      </c>
      <c r="D278" s="509">
        <f>$D$219</f>
        <v>2.2589999999999999E-2</v>
      </c>
      <c r="E278" s="509">
        <f>$E$219</f>
        <v>2.2589999999999999E-2</v>
      </c>
      <c r="F278" s="509">
        <f>$F$219</f>
        <v>2.2589999999999999E-2</v>
      </c>
      <c r="G278" s="509">
        <f>$G$219</f>
        <v>2.2589999999999999E-2</v>
      </c>
      <c r="H278" s="509">
        <f>$H$219</f>
        <v>2.2589999999999999E-2</v>
      </c>
      <c r="I278" s="509">
        <f>$I$219</f>
        <v>2.2589999999999999E-2</v>
      </c>
      <c r="J278" s="508" t="s">
        <v>151</v>
      </c>
    </row>
    <row r="279" spans="1:10" ht="21" customHeight="1">
      <c r="A279" s="507" t="s">
        <v>591</v>
      </c>
      <c r="B279" s="508" t="s">
        <v>644</v>
      </c>
      <c r="C279" s="508" t="s">
        <v>411</v>
      </c>
      <c r="D279" s="509">
        <f>$D$225</f>
        <v>1554213850</v>
      </c>
      <c r="E279" s="509">
        <f>$E$225</f>
        <v>1492830</v>
      </c>
      <c r="F279" s="509">
        <f>$F$225</f>
        <v>1819735664.8499999</v>
      </c>
      <c r="G279" s="509">
        <f>$G$225</f>
        <v>1802878930.3499999</v>
      </c>
      <c r="H279" s="509">
        <f>$H$225</f>
        <v>1879125480</v>
      </c>
      <c r="I279" s="509">
        <f>$I$225</f>
        <v>2234892060</v>
      </c>
      <c r="J279" s="508" t="s">
        <v>151</v>
      </c>
    </row>
    <row r="280" spans="1:10" ht="21" customHeight="1">
      <c r="A280" s="507" t="s">
        <v>591</v>
      </c>
      <c r="B280" s="508" t="s">
        <v>645</v>
      </c>
      <c r="C280" s="508" t="s">
        <v>397</v>
      </c>
      <c r="D280" s="509">
        <v>1040</v>
      </c>
      <c r="E280" s="509">
        <v>1040</v>
      </c>
      <c r="F280" s="509">
        <v>1040</v>
      </c>
      <c r="G280" s="509">
        <v>1040</v>
      </c>
      <c r="H280" s="509">
        <v>1040</v>
      </c>
      <c r="I280" s="509">
        <f>'CS 5'!O62</f>
        <v>1040</v>
      </c>
      <c r="J280" s="508" t="s">
        <v>151</v>
      </c>
    </row>
    <row r="281" spans="1:10" ht="21" customHeight="1">
      <c r="A281" s="507" t="s">
        <v>591</v>
      </c>
      <c r="B281" s="508" t="s">
        <v>646</v>
      </c>
      <c r="C281" s="508" t="s">
        <v>411</v>
      </c>
      <c r="D281" s="509">
        <f>$D$218</f>
        <v>4.2999999999999999E-4</v>
      </c>
      <c r="E281" s="509">
        <f>$E$218</f>
        <v>4.2999999999999999E-4</v>
      </c>
      <c r="F281" s="509">
        <f>$F$218</f>
        <v>4.2999999999999999E-4</v>
      </c>
      <c r="G281" s="509">
        <f>$G$218</f>
        <v>4.2999999999999999E-4</v>
      </c>
      <c r="H281" s="509">
        <f>$H$218</f>
        <v>4.2999999999999999E-4</v>
      </c>
      <c r="I281" s="509">
        <f>$I$218</f>
        <v>4.2999999999999999E-4</v>
      </c>
      <c r="J281" s="508" t="s">
        <v>151</v>
      </c>
    </row>
    <row r="282" spans="1:10" ht="21" customHeight="1">
      <c r="A282" s="507" t="s">
        <v>591</v>
      </c>
      <c r="B282" s="508" t="s">
        <v>647</v>
      </c>
      <c r="C282" s="508" t="s">
        <v>411</v>
      </c>
      <c r="D282" s="509">
        <f>($D$276*$D$277*$D$278+$D$279*$D$280*$D$281/1000000)/2000</f>
        <v>0.34752221686000001</v>
      </c>
      <c r="E282" s="509">
        <f>($E$276*$E$277*$E$278+$E$279*$E$280*$E$281/1000000)/2000</f>
        <v>3.334346479593</v>
      </c>
      <c r="F282" s="509">
        <f>($F$276*$F$277*$F$278+$F$279*$F$280*$F$281/1000000)/2000</f>
        <v>4.3317929529354604</v>
      </c>
      <c r="G282" s="509">
        <f>($G$276*$G$277*$G$278+$G$279*$G$280*$G$281/1000000)/2000</f>
        <v>0.52446035668626001</v>
      </c>
      <c r="H282" s="509">
        <f>($H$276*$H$277*$H$278+$H$279*$H$280*$H$281/1000000)/2000</f>
        <v>1.5929364074129999</v>
      </c>
      <c r="I282" s="509">
        <f>($I$276*$I$277*$I$278+$I$279*$I$280*$I$281/1000000)/2000</f>
        <v>1.3307727355109997</v>
      </c>
      <c r="J282" s="508"/>
    </row>
    <row r="283" spans="1:10" ht="21" customHeight="1">
      <c r="A283" s="507" t="s">
        <v>591</v>
      </c>
      <c r="B283" s="508" t="s">
        <v>648</v>
      </c>
      <c r="C283" s="508" t="s">
        <v>411</v>
      </c>
      <c r="D283" s="509">
        <f>$D$224</f>
        <v>0</v>
      </c>
      <c r="E283" s="509">
        <f>$E$224</f>
        <v>1967839.86</v>
      </c>
      <c r="F283" s="509">
        <f>$F$224</f>
        <v>2316600.3000000003</v>
      </c>
      <c r="G283" s="509">
        <f>$G$224</f>
        <v>71616.72</v>
      </c>
      <c r="H283" s="509">
        <f>$H$224</f>
        <v>692202.42</v>
      </c>
      <c r="I283" s="509">
        <f>$I$224</f>
        <v>490512.54</v>
      </c>
      <c r="J283" s="508" t="s">
        <v>152</v>
      </c>
    </row>
    <row r="284" spans="1:10" ht="21" customHeight="1">
      <c r="A284" s="507" t="s">
        <v>591</v>
      </c>
      <c r="B284" s="508" t="s">
        <v>649</v>
      </c>
      <c r="C284" s="508" t="s">
        <v>397</v>
      </c>
      <c r="D284" s="509">
        <v>0.15</v>
      </c>
      <c r="E284" s="509">
        <v>0.15</v>
      </c>
      <c r="F284" s="509">
        <v>0.15</v>
      </c>
      <c r="G284" s="509">
        <v>0.15</v>
      </c>
      <c r="H284" s="509">
        <v>0.15</v>
      </c>
      <c r="I284" s="509">
        <f>'CS 5'!E68</f>
        <v>0.15</v>
      </c>
      <c r="J284" s="508" t="s">
        <v>152</v>
      </c>
    </row>
    <row r="285" spans="1:10" ht="21" customHeight="1">
      <c r="A285" s="507" t="s">
        <v>591</v>
      </c>
      <c r="B285" s="508" t="s">
        <v>650</v>
      </c>
      <c r="C285" s="508" t="s">
        <v>411</v>
      </c>
      <c r="D285" s="509">
        <f>$D$222</f>
        <v>4.6299999999999997E-6</v>
      </c>
      <c r="E285" s="509">
        <f>$E$222</f>
        <v>4.6299999999999997E-6</v>
      </c>
      <c r="F285" s="509">
        <f>$F$222</f>
        <v>4.6299999999999997E-6</v>
      </c>
      <c r="G285" s="509">
        <f>$G$222</f>
        <v>4.6299999999999997E-6</v>
      </c>
      <c r="H285" s="509">
        <f>$H$222</f>
        <v>4.6299999999999997E-6</v>
      </c>
      <c r="I285" s="509">
        <f>$I$222</f>
        <v>4.6299999999999997E-6</v>
      </c>
      <c r="J285" s="508" t="s">
        <v>152</v>
      </c>
    </row>
    <row r="286" spans="1:10" ht="21" customHeight="1">
      <c r="A286" s="507" t="s">
        <v>591</v>
      </c>
      <c r="B286" s="508" t="s">
        <v>651</v>
      </c>
      <c r="C286" s="508" t="s">
        <v>411</v>
      </c>
      <c r="D286" s="509">
        <f>$D$225</f>
        <v>1554213850</v>
      </c>
      <c r="E286" s="509">
        <f>$E$225</f>
        <v>1492830</v>
      </c>
      <c r="F286" s="509">
        <f>$F$225</f>
        <v>1819735664.8499999</v>
      </c>
      <c r="G286" s="509">
        <f>$G$225</f>
        <v>1802878930.3499999</v>
      </c>
      <c r="H286" s="509">
        <f>$H$225</f>
        <v>1879125480</v>
      </c>
      <c r="I286" s="509">
        <f>$I$225</f>
        <v>2234892060</v>
      </c>
      <c r="J286" s="508" t="s">
        <v>152</v>
      </c>
    </row>
    <row r="287" spans="1:10" ht="21" customHeight="1">
      <c r="A287" s="507" t="s">
        <v>591</v>
      </c>
      <c r="B287" s="508" t="s">
        <v>652</v>
      </c>
      <c r="C287" s="508" t="s">
        <v>397</v>
      </c>
      <c r="D287" s="509">
        <v>1040</v>
      </c>
      <c r="E287" s="509">
        <v>1040</v>
      </c>
      <c r="F287" s="509">
        <v>1040</v>
      </c>
      <c r="G287" s="509">
        <v>1040</v>
      </c>
      <c r="H287" s="509">
        <v>1040</v>
      </c>
      <c r="I287" s="509">
        <f>'CS 5'!O68</f>
        <v>1040</v>
      </c>
      <c r="J287" s="508" t="s">
        <v>152</v>
      </c>
    </row>
    <row r="288" spans="1:10" ht="21" customHeight="1">
      <c r="A288" s="507" t="s">
        <v>591</v>
      </c>
      <c r="B288" s="508" t="s">
        <v>653</v>
      </c>
      <c r="C288" s="508" t="s">
        <v>411</v>
      </c>
      <c r="D288" s="509">
        <f>$D$221</f>
        <v>0</v>
      </c>
      <c r="E288" s="509">
        <f>$E$221</f>
        <v>0</v>
      </c>
      <c r="F288" s="509">
        <f>$F$221</f>
        <v>0</v>
      </c>
      <c r="G288" s="509">
        <f>$G$221</f>
        <v>0</v>
      </c>
      <c r="H288" s="509">
        <f>$H$221</f>
        <v>0</v>
      </c>
      <c r="I288" s="509">
        <f>$I$221</f>
        <v>0</v>
      </c>
      <c r="J288" s="508" t="s">
        <v>152</v>
      </c>
    </row>
    <row r="289" spans="1:10" ht="21" customHeight="1">
      <c r="A289" s="507" t="s">
        <v>591</v>
      </c>
      <c r="B289" s="508" t="s">
        <v>586</v>
      </c>
      <c r="C289" s="508" t="s">
        <v>411</v>
      </c>
      <c r="D289" s="509">
        <f>($D$283*$D$284*$D$285+$D$286*$D$287*$D$288/1000000)/2000</f>
        <v>0</v>
      </c>
      <c r="E289" s="509">
        <f>($E$283*$E$284*$E$285+$E$286*$E$287*$E$288/1000000)/2000</f>
        <v>6.8333239138499986E-4</v>
      </c>
      <c r="F289" s="509">
        <f>($F$283*$F$284*$F$285+$F$286*$F$287*$F$288/1000000)/2000</f>
        <v>8.0443945417500002E-4</v>
      </c>
      <c r="G289" s="509">
        <f>($G$283*$G$284*$G$285+$G$286*$G$287*$G$288/1000000)/2000</f>
        <v>2.4868906019999998E-5</v>
      </c>
      <c r="H289" s="509">
        <f>($H$283*$H$284*$H$285+$H$286*$H$287*$H$288/1000000)/2000</f>
        <v>2.4036729034499998E-4</v>
      </c>
      <c r="I289" s="509">
        <f>($I$283*$I$284*$I$285+$I$286*$I$287*$I$288/1000000)/2000</f>
        <v>1.7033047951499998E-4</v>
      </c>
      <c r="J289" s="508"/>
    </row>
    <row r="290" spans="1:10" ht="21" customHeight="1">
      <c r="A290" s="507" t="s">
        <v>591</v>
      </c>
      <c r="B290" s="508" t="s">
        <v>654</v>
      </c>
      <c r="C290" s="508" t="s">
        <v>411</v>
      </c>
      <c r="D290" s="509">
        <f>$D$224</f>
        <v>0</v>
      </c>
      <c r="E290" s="509">
        <f>$E$224</f>
        <v>1967839.86</v>
      </c>
      <c r="F290" s="509">
        <f>$F$224</f>
        <v>2316600.3000000003</v>
      </c>
      <c r="G290" s="509">
        <f>$G$224</f>
        <v>71616.72</v>
      </c>
      <c r="H290" s="509">
        <f>$H$224</f>
        <v>692202.42</v>
      </c>
      <c r="I290" s="509">
        <f>$I$224</f>
        <v>490512.54</v>
      </c>
      <c r="J290" s="508" t="s">
        <v>153</v>
      </c>
    </row>
    <row r="291" spans="1:10" ht="21" customHeight="1">
      <c r="A291" s="507" t="s">
        <v>591</v>
      </c>
      <c r="B291" s="508" t="s">
        <v>655</v>
      </c>
      <c r="C291" s="508" t="s">
        <v>411</v>
      </c>
      <c r="D291" s="509">
        <f>$D$220</f>
        <v>25.617688884503689</v>
      </c>
      <c r="E291" s="509">
        <f>$E$220</f>
        <v>24.807530298581618</v>
      </c>
      <c r="F291" s="509">
        <f>$F$220</f>
        <v>25.617688884503689</v>
      </c>
      <c r="G291" s="509">
        <f>$G$220</f>
        <v>25.617688884503689</v>
      </c>
      <c r="H291" s="509">
        <f>$H$220</f>
        <v>25.617688884503689</v>
      </c>
      <c r="I291" s="509">
        <f>$I$220</f>
        <v>25.617688884503689</v>
      </c>
      <c r="J291" s="508" t="s">
        <v>153</v>
      </c>
    </row>
    <row r="292" spans="1:10" ht="21" customHeight="1">
      <c r="A292" s="507" t="s">
        <v>591</v>
      </c>
      <c r="B292" s="508" t="s">
        <v>656</v>
      </c>
      <c r="C292" s="508" t="s">
        <v>411</v>
      </c>
      <c r="D292" s="509">
        <f>$D$225</f>
        <v>1554213850</v>
      </c>
      <c r="E292" s="509">
        <f>$E$225</f>
        <v>1492830</v>
      </c>
      <c r="F292" s="509">
        <f>$F$225</f>
        <v>1819735664.8499999</v>
      </c>
      <c r="G292" s="509">
        <f>$G$225</f>
        <v>1802878930.3499999</v>
      </c>
      <c r="H292" s="509">
        <f>$H$225</f>
        <v>1879125480</v>
      </c>
      <c r="I292" s="509">
        <f>$I$225</f>
        <v>2234892060</v>
      </c>
      <c r="J292" s="508" t="s">
        <v>153</v>
      </c>
    </row>
    <row r="293" spans="1:10" ht="21" customHeight="1">
      <c r="A293" s="507" t="s">
        <v>591</v>
      </c>
      <c r="B293" s="508" t="s">
        <v>657</v>
      </c>
      <c r="C293" s="508" t="s">
        <v>411</v>
      </c>
      <c r="D293" s="509">
        <f>$D$223</f>
        <v>0.12049378268189943</v>
      </c>
      <c r="E293" s="509">
        <f>$E$223</f>
        <v>0.12049378268189943</v>
      </c>
      <c r="F293" s="509">
        <f>$F$223</f>
        <v>0.12049378268189943</v>
      </c>
      <c r="G293" s="509">
        <f>$G$223</f>
        <v>0.12049378268189943</v>
      </c>
      <c r="H293" s="509">
        <f>$H$223</f>
        <v>0.12049378268189943</v>
      </c>
      <c r="I293" s="509">
        <f>$I$223</f>
        <v>0.12049378268189943</v>
      </c>
      <c r="J293" s="508" t="s">
        <v>153</v>
      </c>
    </row>
    <row r="294" spans="1:10" ht="21" customHeight="1">
      <c r="A294" s="507" t="s">
        <v>591</v>
      </c>
      <c r="B294" s="508" t="s">
        <v>658</v>
      </c>
      <c r="C294" s="508" t="s">
        <v>397</v>
      </c>
      <c r="D294" s="509">
        <v>2000</v>
      </c>
      <c r="E294" s="509">
        <v>2000</v>
      </c>
      <c r="F294" s="509">
        <v>2000</v>
      </c>
      <c r="G294" s="509">
        <v>2000</v>
      </c>
      <c r="H294" s="509">
        <v>2000</v>
      </c>
      <c r="I294" s="509">
        <f>'CS 5'!H75</f>
        <v>2000</v>
      </c>
      <c r="J294" s="508"/>
    </row>
    <row r="295" spans="1:10" ht="21" customHeight="1">
      <c r="A295" s="507" t="s">
        <v>591</v>
      </c>
      <c r="B295" s="508" t="s">
        <v>659</v>
      </c>
      <c r="C295" s="508" t="s">
        <v>411</v>
      </c>
      <c r="D295" s="509">
        <f>($D$290*$D$291+$D$292*$D$293)/$D$294</f>
        <v>93636.552941549118</v>
      </c>
      <c r="E295" s="509">
        <f>($E$290*$E$291+$E$292*$E$293)/$E$294</f>
        <v>24498.561841653816</v>
      </c>
      <c r="F295" s="509">
        <f>($F$290*$F$291+$F$292*$F$293)/$F$294</f>
        <v>139306.38974704279</v>
      </c>
      <c r="G295" s="509">
        <f>($G$290*$G$291+$G$292*$G$293)/$G$294</f>
        <v>109535.17844362842</v>
      </c>
      <c r="H295" s="509">
        <f>($H$290*$H$291+$H$292*$H$293)/$H$294</f>
        <v>122077.78172990025</v>
      </c>
      <c r="I295" s="509">
        <f>($I$290*$I$291+$I$292*$I$293)/$I$294</f>
        <v>140928.19791940512</v>
      </c>
      <c r="J295" s="508"/>
    </row>
    <row r="296" spans="1:10" ht="21" customHeight="1">
      <c r="A296" s="510" t="s">
        <v>63</v>
      </c>
      <c r="B296" s="506"/>
      <c r="C296" s="506"/>
      <c r="D296" s="511"/>
      <c r="E296" s="511"/>
      <c r="F296" s="511"/>
      <c r="G296" s="511"/>
      <c r="H296" s="511"/>
      <c r="I296" s="512"/>
      <c r="J296" s="506"/>
    </row>
    <row r="297" spans="1:10" ht="21" customHeight="1">
      <c r="A297" s="507" t="s">
        <v>63</v>
      </c>
      <c r="B297" s="508" t="s">
        <v>592</v>
      </c>
      <c r="C297" s="508" t="s">
        <v>397</v>
      </c>
      <c r="D297" s="509">
        <v>0.35</v>
      </c>
      <c r="E297" s="509">
        <v>0.35</v>
      </c>
      <c r="F297" s="509">
        <v>0.35</v>
      </c>
      <c r="G297" s="509">
        <v>0.35</v>
      </c>
      <c r="H297" s="509">
        <v>0.35</v>
      </c>
      <c r="I297" s="509">
        <f>'CS6'!B4</f>
        <v>0.35</v>
      </c>
      <c r="J297" s="508" t="s">
        <v>14</v>
      </c>
    </row>
    <row r="298" spans="1:10" ht="21" customHeight="1">
      <c r="A298" s="507" t="s">
        <v>63</v>
      </c>
      <c r="B298" s="508" t="s">
        <v>593</v>
      </c>
      <c r="C298" s="508" t="s">
        <v>397</v>
      </c>
      <c r="D298" s="509">
        <v>0.35</v>
      </c>
      <c r="E298" s="509">
        <v>0.35</v>
      </c>
      <c r="F298" s="509">
        <v>0.35</v>
      </c>
      <c r="G298" s="509">
        <v>0.35</v>
      </c>
      <c r="H298" s="509">
        <v>0.35</v>
      </c>
      <c r="I298" s="509">
        <f>'CS6'!C4</f>
        <v>0.35</v>
      </c>
      <c r="J298" s="508" t="s">
        <v>14</v>
      </c>
    </row>
    <row r="299" spans="1:10" ht="21" customHeight="1">
      <c r="A299" s="507" t="s">
        <v>63</v>
      </c>
      <c r="B299" s="508" t="s">
        <v>396</v>
      </c>
      <c r="C299" s="508" t="s">
        <v>397</v>
      </c>
      <c r="D299" s="509">
        <v>8.9999999999999993E-3</v>
      </c>
      <c r="E299" s="509">
        <v>8.9999999999999993E-3</v>
      </c>
      <c r="F299" s="509">
        <v>8.9999999999999993E-3</v>
      </c>
      <c r="G299" s="509">
        <v>8.9999999999999993E-3</v>
      </c>
      <c r="H299" s="509">
        <v>8.9999999999999993E-3</v>
      </c>
      <c r="I299" s="509">
        <f>'CS6'!B5</f>
        <v>8.9999999999999993E-3</v>
      </c>
      <c r="J299" s="508" t="s">
        <v>15</v>
      </c>
    </row>
    <row r="300" spans="1:10" ht="21" customHeight="1">
      <c r="A300" s="507" t="s">
        <v>63</v>
      </c>
      <c r="B300" s="508" t="s">
        <v>399</v>
      </c>
      <c r="C300" s="508" t="s">
        <v>397</v>
      </c>
      <c r="D300" s="509">
        <v>3.8E-3</v>
      </c>
      <c r="E300" s="509">
        <v>3.8E-3</v>
      </c>
      <c r="F300" s="509">
        <v>3.8E-3</v>
      </c>
      <c r="G300" s="509">
        <v>3.8E-3</v>
      </c>
      <c r="H300" s="509">
        <v>3.8E-3</v>
      </c>
      <c r="I300" s="509">
        <f>'CS6'!C5</f>
        <v>3.8E-3</v>
      </c>
      <c r="J300" s="508" t="s">
        <v>15</v>
      </c>
    </row>
    <row r="301" spans="1:10" ht="21" customHeight="1">
      <c r="A301" s="507" t="s">
        <v>63</v>
      </c>
      <c r="B301" s="508" t="s">
        <v>407</v>
      </c>
      <c r="C301" s="508" t="s">
        <v>397</v>
      </c>
      <c r="D301" s="509">
        <v>8.0000000000000004E-4</v>
      </c>
      <c r="E301" s="509">
        <v>8.0000000000000004E-4</v>
      </c>
      <c r="F301" s="509">
        <v>8.0000000000000004E-4</v>
      </c>
      <c r="G301" s="509">
        <v>8.0000000000000004E-4</v>
      </c>
      <c r="H301" s="509">
        <v>8.0000000000000004E-4</v>
      </c>
      <c r="I301" s="509">
        <f>'CS6'!B6</f>
        <v>8.0000000000000004E-4</v>
      </c>
      <c r="J301" s="508" t="s">
        <v>16</v>
      </c>
    </row>
    <row r="302" spans="1:10" ht="21" customHeight="1">
      <c r="A302" s="507" t="s">
        <v>63</v>
      </c>
      <c r="B302" s="508" t="s">
        <v>409</v>
      </c>
      <c r="C302" s="508" t="s">
        <v>397</v>
      </c>
      <c r="D302" s="509">
        <v>1.2999999999999999E-3</v>
      </c>
      <c r="E302" s="509">
        <v>1.2999999999999999E-3</v>
      </c>
      <c r="F302" s="509">
        <v>1.2999999999999999E-3</v>
      </c>
      <c r="G302" s="509">
        <v>1.2999999999999999E-3</v>
      </c>
      <c r="H302" s="509">
        <v>1.2999999999999999E-3</v>
      </c>
      <c r="I302" s="509">
        <f>'CS6'!C6</f>
        <v>1.2999999999999999E-3</v>
      </c>
      <c r="J302" s="508" t="s">
        <v>16</v>
      </c>
    </row>
    <row r="303" spans="1:10" ht="21" customHeight="1">
      <c r="A303" s="507" t="s">
        <v>63</v>
      </c>
      <c r="B303" s="508" t="s">
        <v>420</v>
      </c>
      <c r="C303" s="508" t="s">
        <v>397</v>
      </c>
      <c r="D303" s="509">
        <v>5.0000000000000001E-3</v>
      </c>
      <c r="E303" s="509">
        <v>5.0000000000000001E-3</v>
      </c>
      <c r="F303" s="509">
        <v>5.0000000000000001E-3</v>
      </c>
      <c r="G303" s="509">
        <v>5.0000000000000001E-3</v>
      </c>
      <c r="H303" s="509">
        <v>5.0000000000000001E-3</v>
      </c>
      <c r="I303" s="509">
        <f>'CS6'!B7</f>
        <v>5.0000000000000001E-3</v>
      </c>
      <c r="J303" s="508" t="s">
        <v>11</v>
      </c>
    </row>
    <row r="304" spans="1:10" ht="21" customHeight="1">
      <c r="A304" s="507" t="s">
        <v>63</v>
      </c>
      <c r="B304" s="508" t="s">
        <v>422</v>
      </c>
      <c r="C304" s="508" t="s">
        <v>397</v>
      </c>
      <c r="D304" s="509">
        <v>2.75E-2</v>
      </c>
      <c r="E304" s="509">
        <v>2.75E-2</v>
      </c>
      <c r="F304" s="509">
        <v>2.75E-2</v>
      </c>
      <c r="G304" s="509">
        <v>2.75E-2</v>
      </c>
      <c r="H304" s="509">
        <v>2.75E-2</v>
      </c>
      <c r="I304" s="509">
        <f>'CS6'!C7</f>
        <v>2.75E-2</v>
      </c>
      <c r="J304" s="508" t="s">
        <v>11</v>
      </c>
    </row>
    <row r="305" spans="1:10" ht="21" customHeight="1">
      <c r="A305" s="507" t="s">
        <v>63</v>
      </c>
      <c r="B305" s="508" t="s">
        <v>431</v>
      </c>
      <c r="C305" s="508" t="s">
        <v>397</v>
      </c>
      <c r="D305" s="509">
        <v>8.0999999999999996E-3</v>
      </c>
      <c r="E305" s="509">
        <v>8.0999999999999996E-3</v>
      </c>
      <c r="F305" s="509">
        <v>8.0999999999999996E-3</v>
      </c>
      <c r="G305" s="509">
        <v>8.0999999999999996E-3</v>
      </c>
      <c r="H305" s="509">
        <v>8.0999999999999996E-3</v>
      </c>
      <c r="I305" s="509">
        <f>'CS6'!B8</f>
        <v>8.0999999999999996E-3</v>
      </c>
      <c r="J305" s="508" t="s">
        <v>12</v>
      </c>
    </row>
    <row r="306" spans="1:10" ht="21" customHeight="1">
      <c r="A306" s="507" t="s">
        <v>63</v>
      </c>
      <c r="B306" s="508" t="s">
        <v>433</v>
      </c>
      <c r="C306" s="508" t="s">
        <v>397</v>
      </c>
      <c r="D306" s="509">
        <v>0.04</v>
      </c>
      <c r="E306" s="509">
        <v>0.04</v>
      </c>
      <c r="F306" s="509">
        <v>0.04</v>
      </c>
      <c r="G306" s="509">
        <v>0.04</v>
      </c>
      <c r="H306" s="509">
        <v>0.04</v>
      </c>
      <c r="I306" s="509">
        <f>'CS6'!C8</f>
        <v>0.04</v>
      </c>
      <c r="J306" s="508" t="s">
        <v>12</v>
      </c>
    </row>
    <row r="307" spans="1:10" ht="21" customHeight="1">
      <c r="A307" s="507" t="s">
        <v>63</v>
      </c>
      <c r="B307" s="508" t="s">
        <v>440</v>
      </c>
      <c r="C307" s="508" t="s">
        <v>397</v>
      </c>
      <c r="D307" s="509">
        <v>7.4999999999999997E-3</v>
      </c>
      <c r="E307" s="509">
        <v>7.4999999999999997E-3</v>
      </c>
      <c r="F307" s="509">
        <v>7.4999999999999997E-3</v>
      </c>
      <c r="G307" s="509">
        <v>7.4999999999999997E-3</v>
      </c>
      <c r="H307" s="509">
        <v>7.4999999999999997E-3</v>
      </c>
      <c r="I307" s="509">
        <f>'CS6'!B9</f>
        <v>7.4999999999999997E-3</v>
      </c>
      <c r="J307" s="508" t="s">
        <v>34</v>
      </c>
    </row>
    <row r="308" spans="1:10" ht="21" customHeight="1">
      <c r="A308" s="507" t="s">
        <v>63</v>
      </c>
      <c r="B308" s="508" t="s">
        <v>442</v>
      </c>
      <c r="C308" s="508" t="s">
        <v>397</v>
      </c>
      <c r="D308" s="509">
        <v>3.3000000000000002E-2</v>
      </c>
      <c r="E308" s="509">
        <v>3.3000000000000002E-2</v>
      </c>
      <c r="F308" s="509">
        <v>3.3000000000000002E-2</v>
      </c>
      <c r="G308" s="509">
        <v>3.3000000000000002E-2</v>
      </c>
      <c r="H308" s="509">
        <v>3.3000000000000002E-2</v>
      </c>
      <c r="I308" s="509">
        <f>'CS6'!C9</f>
        <v>3.3000000000000002E-2</v>
      </c>
      <c r="J308" s="508" t="s">
        <v>34</v>
      </c>
    </row>
    <row r="309" spans="1:10" ht="21" customHeight="1">
      <c r="A309" s="507" t="s">
        <v>63</v>
      </c>
      <c r="B309" s="508" t="s">
        <v>450</v>
      </c>
      <c r="C309" s="508" t="s">
        <v>397</v>
      </c>
      <c r="D309" s="509">
        <v>4.0000000000000001E-3</v>
      </c>
      <c r="E309" s="509">
        <v>4.0000000000000001E-3</v>
      </c>
      <c r="F309" s="509">
        <v>4.0000000000000001E-3</v>
      </c>
      <c r="G309" s="509">
        <v>4.0000000000000001E-3</v>
      </c>
      <c r="H309" s="509">
        <v>4.0000000000000001E-3</v>
      </c>
      <c r="I309" s="509">
        <f>'CS6'!B10</f>
        <v>4.0000000000000001E-3</v>
      </c>
      <c r="J309" s="508" t="s">
        <v>13</v>
      </c>
    </row>
    <row r="310" spans="1:10" ht="21" customHeight="1">
      <c r="A310" s="507" t="s">
        <v>63</v>
      </c>
      <c r="B310" s="508" t="s">
        <v>459</v>
      </c>
      <c r="C310" s="508" t="s">
        <v>397</v>
      </c>
      <c r="D310" s="509">
        <v>4.2999999999999999E-4</v>
      </c>
      <c r="E310" s="509">
        <v>4.2999999999999999E-4</v>
      </c>
      <c r="F310" s="509">
        <v>4.2999999999999999E-4</v>
      </c>
      <c r="G310" s="509">
        <v>4.2999999999999999E-4</v>
      </c>
      <c r="H310" s="509">
        <v>4.2999999999999999E-4</v>
      </c>
      <c r="I310" s="509">
        <f>'CS6'!B11</f>
        <v>4.2999999999999999E-4</v>
      </c>
      <c r="J310" s="508" t="s">
        <v>36</v>
      </c>
    </row>
    <row r="311" spans="1:10" ht="21" customHeight="1">
      <c r="A311" s="507" t="s">
        <v>63</v>
      </c>
      <c r="B311" s="508" t="s">
        <v>461</v>
      </c>
      <c r="C311" s="508" t="s">
        <v>397</v>
      </c>
      <c r="D311" s="509">
        <v>2.2589999999999999E-2</v>
      </c>
      <c r="E311" s="509">
        <v>2.2589999999999999E-2</v>
      </c>
      <c r="F311" s="509">
        <v>2.2589999999999999E-2</v>
      </c>
      <c r="G311" s="509">
        <v>2.2589999999999999E-2</v>
      </c>
      <c r="H311" s="509">
        <v>2.2589999999999999E-2</v>
      </c>
      <c r="I311" s="509">
        <f>'CS6'!C11</f>
        <v>2.2589999999999999E-2</v>
      </c>
      <c r="J311" s="508" t="s">
        <v>36</v>
      </c>
    </row>
    <row r="312" spans="1:10" ht="21" customHeight="1">
      <c r="A312" s="507" t="s">
        <v>63</v>
      </c>
      <c r="B312" s="508" t="s">
        <v>594</v>
      </c>
      <c r="C312" s="508" t="s">
        <v>411</v>
      </c>
      <c r="D312" s="509">
        <f>(157765.7+153.2+365.3)*2204.6/13621578</f>
        <v>25.617688884503689</v>
      </c>
      <c r="E312" s="509">
        <f>(2039612.73+81.84*25+16.37*298)*2204.6/181872012</f>
        <v>24.807530298581618</v>
      </c>
      <c r="F312" s="509">
        <f>(157765.7+153.2+365.3)*2204.6/13621578</f>
        <v>25.617688884503689</v>
      </c>
      <c r="G312" s="509">
        <f>(157765.7+153.2+365.3)*2204.6/13621578</f>
        <v>25.617688884503689</v>
      </c>
      <c r="H312" s="509">
        <f>(157765.7+153.2+365.3)*2204.6/13621578</f>
        <v>25.617688884503689</v>
      </c>
      <c r="I312" s="509">
        <f>(157765.7+153.2+365.3)*2204.6/13621578</f>
        <v>25.617688884503689</v>
      </c>
      <c r="J312" s="508" t="s">
        <v>36</v>
      </c>
    </row>
    <row r="313" spans="1:10" ht="21" customHeight="1">
      <c r="A313" s="507" t="s">
        <v>63</v>
      </c>
      <c r="B313" s="508" t="s">
        <v>464</v>
      </c>
      <c r="C313" s="508" t="s">
        <v>397</v>
      </c>
      <c r="D313" s="509">
        <v>0</v>
      </c>
      <c r="E313" s="509">
        <v>0</v>
      </c>
      <c r="F313" s="509">
        <v>0</v>
      </c>
      <c r="G313" s="509">
        <v>0</v>
      </c>
      <c r="H313" s="509">
        <v>0</v>
      </c>
      <c r="I313" s="509">
        <f>'CS6'!B12</f>
        <v>0</v>
      </c>
      <c r="J313" s="508" t="s">
        <v>17</v>
      </c>
    </row>
    <row r="314" spans="1:10" ht="21" customHeight="1">
      <c r="A314" s="507" t="s">
        <v>63</v>
      </c>
      <c r="B314" s="508" t="s">
        <v>466</v>
      </c>
      <c r="C314" s="508" t="s">
        <v>397</v>
      </c>
      <c r="D314" s="509">
        <v>4.6299999999999997E-6</v>
      </c>
      <c r="E314" s="509">
        <v>4.6299999999999997E-6</v>
      </c>
      <c r="F314" s="509">
        <v>4.6299999999999997E-6</v>
      </c>
      <c r="G314" s="509">
        <v>4.6299999999999997E-6</v>
      </c>
      <c r="H314" s="509">
        <v>4.6299999999999997E-6</v>
      </c>
      <c r="I314" s="509">
        <f>'CS6'!C12</f>
        <v>4.6299999999999997E-6</v>
      </c>
      <c r="J314" s="508" t="s">
        <v>17</v>
      </c>
    </row>
    <row r="315" spans="1:10" ht="21" customHeight="1">
      <c r="A315" s="507" t="s">
        <v>63</v>
      </c>
      <c r="B315" s="508" t="s">
        <v>595</v>
      </c>
      <c r="C315" s="508" t="s">
        <v>411</v>
      </c>
      <c r="D315" s="509">
        <f>(989989.8+466.4+556)*2204.62/18132099995</f>
        <v>0.12049378268189943</v>
      </c>
      <c r="E315" s="509">
        <f>(989989.8+466.4+556)*2204.62/18132099995</f>
        <v>0.12049378268189943</v>
      </c>
      <c r="F315" s="509">
        <f>(989989.8+466.4+556)*2204.62/18132099995</f>
        <v>0.12049378268189943</v>
      </c>
      <c r="G315" s="509">
        <f>(989989.8+466.4+556)*2204.62/18132099995</f>
        <v>0.12049378268189943</v>
      </c>
      <c r="H315" s="509">
        <f>(989989.8+466.4+556)*2204.62/18132099995</f>
        <v>0.12049378268189943</v>
      </c>
      <c r="I315" s="509">
        <f>(989989.8+466.4+556)*2204.62/18132099995</f>
        <v>0.12049378268189943</v>
      </c>
      <c r="J315" s="508" t="s">
        <v>17</v>
      </c>
    </row>
    <row r="316" spans="1:10" ht="21" customHeight="1">
      <c r="A316" s="507" t="s">
        <v>63</v>
      </c>
      <c r="B316" s="508" t="s">
        <v>484</v>
      </c>
      <c r="C316" s="508" t="s">
        <v>411</v>
      </c>
      <c r="D316" s="509">
        <f>$D$19</f>
        <v>897043.98</v>
      </c>
      <c r="E316" s="509">
        <f>$E$27</f>
        <v>7883312.2199999997</v>
      </c>
      <c r="F316" s="509">
        <f>$F$37</f>
        <v>2939540.1</v>
      </c>
      <c r="G316" s="509">
        <f>$G$47</f>
        <v>195657.84</v>
      </c>
      <c r="H316" s="509">
        <f>$H$55</f>
        <v>4968238.8</v>
      </c>
      <c r="I316" s="509">
        <f>$I$63</f>
        <v>1798110.3</v>
      </c>
      <c r="J316" s="508" t="s">
        <v>596</v>
      </c>
    </row>
    <row r="317" spans="1:10" ht="21" customHeight="1">
      <c r="A317" s="507" t="s">
        <v>63</v>
      </c>
      <c r="B317" s="508" t="s">
        <v>489</v>
      </c>
      <c r="C317" s="508" t="s">
        <v>411</v>
      </c>
      <c r="D317" s="509">
        <f>$D$121</f>
        <v>742542910</v>
      </c>
      <c r="E317" s="509">
        <f>$E$123</f>
        <v>731915920</v>
      </c>
      <c r="F317" s="509">
        <f>$F$125</f>
        <v>1696905270</v>
      </c>
      <c r="G317" s="509">
        <f>$G$127</f>
        <v>1204545823.6500001</v>
      </c>
      <c r="H317" s="509">
        <f>$H$129</f>
        <v>1145662860</v>
      </c>
      <c r="I317" s="509">
        <f>$I$131</f>
        <v>1965580205.8499999</v>
      </c>
      <c r="J317" s="508" t="s">
        <v>597</v>
      </c>
    </row>
    <row r="318" spans="1:10" ht="21" customHeight="1">
      <c r="A318" s="507" t="s">
        <v>63</v>
      </c>
      <c r="B318" s="508" t="s">
        <v>564</v>
      </c>
      <c r="C318" s="508" t="s">
        <v>411</v>
      </c>
      <c r="D318" s="509">
        <f>$D$23</f>
        <v>0.47</v>
      </c>
      <c r="E318" s="509">
        <f>$E$31</f>
        <v>0.47</v>
      </c>
      <c r="F318" s="509">
        <f>$F$41</f>
        <v>0.48</v>
      </c>
      <c r="G318" s="509">
        <f>$G$51</f>
        <v>0.48</v>
      </c>
      <c r="H318" s="509">
        <f>$H$59</f>
        <v>0.49</v>
      </c>
      <c r="I318" s="509">
        <f>$I$67</f>
        <v>0.47</v>
      </c>
      <c r="J318" s="508" t="s">
        <v>130</v>
      </c>
    </row>
    <row r="319" spans="1:10" ht="21" customHeight="1">
      <c r="A319" s="507" t="s">
        <v>63</v>
      </c>
      <c r="B319" s="508" t="s">
        <v>598</v>
      </c>
      <c r="C319" s="508" t="s">
        <v>411</v>
      </c>
      <c r="D319" s="509">
        <f>$D$316</f>
        <v>897043.98</v>
      </c>
      <c r="E319" s="509">
        <f>$E$316</f>
        <v>7883312.2199999997</v>
      </c>
      <c r="F319" s="509">
        <f>$F$316</f>
        <v>2939540.1</v>
      </c>
      <c r="G319" s="509">
        <f>$G$316</f>
        <v>195657.84</v>
      </c>
      <c r="H319" s="509">
        <f>$H$316</f>
        <v>4968238.8</v>
      </c>
      <c r="I319" s="509">
        <f>$I$316</f>
        <v>1798110.3</v>
      </c>
      <c r="J319" s="508" t="s">
        <v>132</v>
      </c>
    </row>
    <row r="320" spans="1:10" ht="21" customHeight="1">
      <c r="A320" s="507" t="s">
        <v>63</v>
      </c>
      <c r="B320" s="508" t="s">
        <v>599</v>
      </c>
      <c r="C320" s="508" t="s">
        <v>397</v>
      </c>
      <c r="D320" s="509">
        <v>0.15</v>
      </c>
      <c r="E320" s="509">
        <v>0.15</v>
      </c>
      <c r="F320" s="509">
        <v>0.15</v>
      </c>
      <c r="G320" s="509">
        <v>0.15</v>
      </c>
      <c r="H320" s="509">
        <v>0.15</v>
      </c>
      <c r="I320" s="509">
        <f>'CS6'!E20</f>
        <v>0.15</v>
      </c>
      <c r="J320" s="508" t="s">
        <v>132</v>
      </c>
    </row>
    <row r="321" spans="1:10" ht="21" customHeight="1">
      <c r="A321" s="507" t="s">
        <v>63</v>
      </c>
      <c r="B321" s="508" t="s">
        <v>600</v>
      </c>
      <c r="C321" s="508" t="s">
        <v>411</v>
      </c>
      <c r="D321" s="509">
        <f>$D$298</f>
        <v>0.35</v>
      </c>
      <c r="E321" s="509">
        <f>$E$298</f>
        <v>0.35</v>
      </c>
      <c r="F321" s="509">
        <f>$F$298</f>
        <v>0.35</v>
      </c>
      <c r="G321" s="509">
        <f>$G$298</f>
        <v>0.35</v>
      </c>
      <c r="H321" s="509">
        <f>$H$298</f>
        <v>0.35</v>
      </c>
      <c r="I321" s="509">
        <f>$I$298</f>
        <v>0.35</v>
      </c>
      <c r="J321" s="508" t="s">
        <v>132</v>
      </c>
    </row>
    <row r="322" spans="1:10" ht="21" customHeight="1">
      <c r="A322" s="507" t="s">
        <v>63</v>
      </c>
      <c r="B322" s="508" t="s">
        <v>601</v>
      </c>
      <c r="C322" s="508" t="s">
        <v>411</v>
      </c>
      <c r="D322" s="509">
        <f>$D$317</f>
        <v>742542910</v>
      </c>
      <c r="E322" s="509">
        <f>$E$317</f>
        <v>731915920</v>
      </c>
      <c r="F322" s="509">
        <f>$F$317</f>
        <v>1696905270</v>
      </c>
      <c r="G322" s="509">
        <f>$G$317</f>
        <v>1204545823.6500001</v>
      </c>
      <c r="H322" s="509">
        <f>$H$317</f>
        <v>1145662860</v>
      </c>
      <c r="I322" s="509">
        <f>$I$317</f>
        <v>1965580205.8499999</v>
      </c>
      <c r="J322" s="508" t="s">
        <v>132</v>
      </c>
    </row>
    <row r="323" spans="1:10" ht="21" customHeight="1">
      <c r="A323" s="507" t="s">
        <v>63</v>
      </c>
      <c r="B323" s="508" t="s">
        <v>602</v>
      </c>
      <c r="C323" s="508" t="s">
        <v>397</v>
      </c>
      <c r="D323" s="509">
        <v>1040</v>
      </c>
      <c r="E323" s="509">
        <v>1040</v>
      </c>
      <c r="F323" s="509">
        <v>1040</v>
      </c>
      <c r="G323" s="509">
        <v>1040</v>
      </c>
      <c r="H323" s="509">
        <v>1040</v>
      </c>
      <c r="I323" s="509">
        <f>'CS6'!O20</f>
        <v>1040</v>
      </c>
      <c r="J323" s="508" t="s">
        <v>132</v>
      </c>
    </row>
    <row r="324" spans="1:10" ht="21" customHeight="1">
      <c r="A324" s="507" t="s">
        <v>63</v>
      </c>
      <c r="B324" s="508" t="s">
        <v>603</v>
      </c>
      <c r="C324" s="508" t="s">
        <v>411</v>
      </c>
      <c r="D324" s="509">
        <f>$D$297</f>
        <v>0.35</v>
      </c>
      <c r="E324" s="509">
        <f>$E$297</f>
        <v>0.35</v>
      </c>
      <c r="F324" s="509">
        <f>$F$297</f>
        <v>0.35</v>
      </c>
      <c r="G324" s="509">
        <f>$G$297</f>
        <v>0.35</v>
      </c>
      <c r="H324" s="509">
        <f>$H$297</f>
        <v>0.35</v>
      </c>
      <c r="I324" s="509">
        <f>$I$297</f>
        <v>0.35</v>
      </c>
      <c r="J324" s="508" t="s">
        <v>132</v>
      </c>
    </row>
    <row r="325" spans="1:10" ht="21" customHeight="1">
      <c r="A325" s="507" t="s">
        <v>63</v>
      </c>
      <c r="B325" s="508" t="s">
        <v>604</v>
      </c>
      <c r="C325" s="508" t="s">
        <v>411</v>
      </c>
      <c r="D325" s="509">
        <f>($D$319*$D$320*$D$321+$D$322*$D$323*$D$324/1000000)/2000</f>
        <v>158.69021409499999</v>
      </c>
      <c r="E325" s="509">
        <f>($E$319*$E$320*$E$321+$E$322*$E$323*$E$324/1000000)/2000</f>
        <v>340.14564321499995</v>
      </c>
      <c r="F325" s="509">
        <f>($F$319*$F$320*$F$321+$F$322*$F$323*$F$324/1000000)/2000</f>
        <v>385.99968676499998</v>
      </c>
      <c r="G325" s="509">
        <f>($G$319*$G$320*$G$321+$G$322*$G$323*$G$324/1000000)/2000</f>
        <v>224.3633582043</v>
      </c>
      <c r="H325" s="509">
        <f>($H$319*$H$320*$H$321+$H$322*$H$323*$H$324/1000000)/2000</f>
        <v>338.92690901999998</v>
      </c>
      <c r="I325" s="509">
        <f>($I$319*$I$320*$I$321+$I$322*$I$323*$I$324/1000000)/2000</f>
        <v>404.93599283969996</v>
      </c>
      <c r="J325" s="508"/>
    </row>
    <row r="326" spans="1:10" ht="21" customHeight="1">
      <c r="A326" s="507" t="s">
        <v>63</v>
      </c>
      <c r="B326" s="508" t="s">
        <v>501</v>
      </c>
      <c r="C326" s="508" t="s">
        <v>411</v>
      </c>
      <c r="D326" s="509">
        <f>$D$316</f>
        <v>897043.98</v>
      </c>
      <c r="E326" s="509">
        <f>$E$316</f>
        <v>7883312.2199999997</v>
      </c>
      <c r="F326" s="509">
        <f>$F$316</f>
        <v>2939540.1</v>
      </c>
      <c r="G326" s="509">
        <f>$G$316</f>
        <v>195657.84</v>
      </c>
      <c r="H326" s="509">
        <f>$H$316</f>
        <v>4968238.8</v>
      </c>
      <c r="I326" s="509">
        <f>$I$316</f>
        <v>1798110.3</v>
      </c>
      <c r="J326" s="508" t="s">
        <v>144</v>
      </c>
    </row>
    <row r="327" spans="1:10" ht="21" customHeight="1">
      <c r="A327" s="507" t="s">
        <v>63</v>
      </c>
      <c r="B327" s="508" t="s">
        <v>504</v>
      </c>
      <c r="C327" s="508" t="s">
        <v>397</v>
      </c>
      <c r="D327" s="509">
        <v>0.15</v>
      </c>
      <c r="E327" s="509">
        <v>0.15</v>
      </c>
      <c r="F327" s="509">
        <v>0.15</v>
      </c>
      <c r="G327" s="509">
        <v>0.15</v>
      </c>
      <c r="H327" s="509">
        <v>0.15</v>
      </c>
      <c r="I327" s="509">
        <f>'CS6'!E26</f>
        <v>0.15</v>
      </c>
      <c r="J327" s="508" t="s">
        <v>144</v>
      </c>
    </row>
    <row r="328" spans="1:10" ht="21" customHeight="1">
      <c r="A328" s="507" t="s">
        <v>63</v>
      </c>
      <c r="B328" s="508" t="s">
        <v>605</v>
      </c>
      <c r="C328" s="508" t="s">
        <v>411</v>
      </c>
      <c r="D328" s="509">
        <f>$D$300</f>
        <v>3.8E-3</v>
      </c>
      <c r="E328" s="509">
        <f>$E$300</f>
        <v>3.8E-3</v>
      </c>
      <c r="F328" s="509">
        <f>$F$300</f>
        <v>3.8E-3</v>
      </c>
      <c r="G328" s="509">
        <f>$G$300</f>
        <v>3.8E-3</v>
      </c>
      <c r="H328" s="509">
        <f>$H$300</f>
        <v>3.8E-3</v>
      </c>
      <c r="I328" s="509">
        <f>$I$300</f>
        <v>3.8E-3</v>
      </c>
      <c r="J328" s="508" t="s">
        <v>144</v>
      </c>
    </row>
    <row r="329" spans="1:10" ht="21" customHeight="1">
      <c r="A329" s="507" t="s">
        <v>63</v>
      </c>
      <c r="B329" s="508" t="s">
        <v>606</v>
      </c>
      <c r="C329" s="508" t="s">
        <v>411</v>
      </c>
      <c r="D329" s="509">
        <f>$D$317</f>
        <v>742542910</v>
      </c>
      <c r="E329" s="509">
        <f>$E$317</f>
        <v>731915920</v>
      </c>
      <c r="F329" s="509">
        <f>$F$317</f>
        <v>1696905270</v>
      </c>
      <c r="G329" s="509">
        <f>$G$317</f>
        <v>1204545823.6500001</v>
      </c>
      <c r="H329" s="509">
        <f>$H$317</f>
        <v>1145662860</v>
      </c>
      <c r="I329" s="509">
        <f>$I$317</f>
        <v>1965580205.8499999</v>
      </c>
      <c r="J329" s="508" t="s">
        <v>144</v>
      </c>
    </row>
    <row r="330" spans="1:10" ht="21" customHeight="1">
      <c r="A330" s="507" t="s">
        <v>63</v>
      </c>
      <c r="B330" s="508" t="s">
        <v>607</v>
      </c>
      <c r="C330" s="508" t="s">
        <v>397</v>
      </c>
      <c r="D330" s="509">
        <v>1040</v>
      </c>
      <c r="E330" s="509">
        <v>1040</v>
      </c>
      <c r="F330" s="509">
        <v>1040</v>
      </c>
      <c r="G330" s="509">
        <v>1040</v>
      </c>
      <c r="H330" s="509">
        <v>1040</v>
      </c>
      <c r="I330" s="509">
        <f>'CS6'!O26</f>
        <v>1040</v>
      </c>
      <c r="J330" s="508" t="s">
        <v>144</v>
      </c>
    </row>
    <row r="331" spans="1:10" ht="21" customHeight="1">
      <c r="A331" s="507" t="s">
        <v>63</v>
      </c>
      <c r="B331" s="508" t="s">
        <v>608</v>
      </c>
      <c r="C331" s="508" t="s">
        <v>411</v>
      </c>
      <c r="D331" s="509">
        <f>$D$299</f>
        <v>8.9999999999999993E-3</v>
      </c>
      <c r="E331" s="509">
        <f>$E$299</f>
        <v>8.9999999999999993E-3</v>
      </c>
      <c r="F331" s="509">
        <f>$F$299</f>
        <v>8.9999999999999993E-3</v>
      </c>
      <c r="G331" s="509">
        <f>$G$299</f>
        <v>8.9999999999999993E-3</v>
      </c>
      <c r="H331" s="509">
        <f>$H$299</f>
        <v>8.9999999999999993E-3</v>
      </c>
      <c r="I331" s="509">
        <f>$I$299</f>
        <v>8.9999999999999993E-3</v>
      </c>
      <c r="J331" s="508" t="s">
        <v>144</v>
      </c>
    </row>
    <row r="332" spans="1:10" ht="21" customHeight="1">
      <c r="A332" s="507" t="s">
        <v>63</v>
      </c>
      <c r="B332" s="508" t="s">
        <v>513</v>
      </c>
      <c r="C332" s="508" t="s">
        <v>411</v>
      </c>
      <c r="D332" s="509">
        <f>($D$326*$D$327*$D$328+$D$329*$D$330*$D$331/1000000)/2000</f>
        <v>3.7307583530999997</v>
      </c>
      <c r="E332" s="509">
        <f>($E$326*$E$327*$E$328+$E$329*$E$330*$E$331/1000000)/2000</f>
        <v>5.6721104882999995</v>
      </c>
      <c r="F332" s="509">
        <f>($F$326*$F$327*$F$328+$F$329*$F$330*$F$331/1000000)/2000</f>
        <v>8.779285592099999</v>
      </c>
      <c r="G332" s="509">
        <f>($G$326*$G$327*$G$328+$G$329*$G$330*$G$331/1000000)/2000</f>
        <v>5.6930369390819999</v>
      </c>
      <c r="H332" s="509">
        <f>($H$326*$H$327*$H$328+$H$329*$H$330*$H$331/1000000)/2000</f>
        <v>6.7776502427999992</v>
      </c>
      <c r="I332" s="509">
        <f>($I$326*$I$327*$I$328+$I$329*$I$330*$I$331/1000000)/2000</f>
        <v>9.711376798877998</v>
      </c>
      <c r="J332" s="508"/>
    </row>
    <row r="333" spans="1:10" ht="21" customHeight="1">
      <c r="A333" s="507" t="s">
        <v>63</v>
      </c>
      <c r="B333" s="508" t="s">
        <v>609</v>
      </c>
      <c r="C333" s="508" t="s">
        <v>411</v>
      </c>
      <c r="D333" s="509">
        <f>$D$316</f>
        <v>897043.98</v>
      </c>
      <c r="E333" s="509">
        <f>$E$316</f>
        <v>7883312.2199999997</v>
      </c>
      <c r="F333" s="509">
        <f>$F$316</f>
        <v>2939540.1</v>
      </c>
      <c r="G333" s="509">
        <f>$G$316</f>
        <v>195657.84</v>
      </c>
      <c r="H333" s="509">
        <f>$H$316</f>
        <v>4968238.8</v>
      </c>
      <c r="I333" s="509">
        <f>$I$316</f>
        <v>1798110.3</v>
      </c>
      <c r="J333" s="508" t="s">
        <v>145</v>
      </c>
    </row>
    <row r="334" spans="1:10" ht="21" customHeight="1">
      <c r="A334" s="507" t="s">
        <v>63</v>
      </c>
      <c r="B334" s="508" t="s">
        <v>610</v>
      </c>
      <c r="C334" s="508" t="s">
        <v>397</v>
      </c>
      <c r="D334" s="509">
        <v>0.15</v>
      </c>
      <c r="E334" s="509">
        <v>0.15</v>
      </c>
      <c r="F334" s="509">
        <v>0.15</v>
      </c>
      <c r="G334" s="509">
        <v>0.15</v>
      </c>
      <c r="H334" s="509">
        <v>0.15</v>
      </c>
      <c r="I334" s="509">
        <f>'CS6'!E32</f>
        <v>0.15</v>
      </c>
      <c r="J334" s="508" t="s">
        <v>145</v>
      </c>
    </row>
    <row r="335" spans="1:10" ht="21" customHeight="1">
      <c r="A335" s="507" t="s">
        <v>63</v>
      </c>
      <c r="B335" s="508" t="s">
        <v>611</v>
      </c>
      <c r="C335" s="508" t="s">
        <v>411</v>
      </c>
      <c r="D335" s="509">
        <f>$D$302</f>
        <v>1.2999999999999999E-3</v>
      </c>
      <c r="E335" s="509">
        <f>$E$302</f>
        <v>1.2999999999999999E-3</v>
      </c>
      <c r="F335" s="509">
        <f>$F$302</f>
        <v>1.2999999999999999E-3</v>
      </c>
      <c r="G335" s="509">
        <f>$G$302</f>
        <v>1.2999999999999999E-3</v>
      </c>
      <c r="H335" s="509">
        <f>$H$302</f>
        <v>1.2999999999999999E-3</v>
      </c>
      <c r="I335" s="509">
        <f>$I$302</f>
        <v>1.2999999999999999E-3</v>
      </c>
      <c r="J335" s="508" t="s">
        <v>145</v>
      </c>
    </row>
    <row r="336" spans="1:10" ht="21" customHeight="1">
      <c r="A336" s="507" t="s">
        <v>63</v>
      </c>
      <c r="B336" s="508" t="s">
        <v>612</v>
      </c>
      <c r="C336" s="508" t="s">
        <v>411</v>
      </c>
      <c r="D336" s="509">
        <f>$D$317</f>
        <v>742542910</v>
      </c>
      <c r="E336" s="509">
        <f>$E$317</f>
        <v>731915920</v>
      </c>
      <c r="F336" s="509">
        <f>$F$317</f>
        <v>1696905270</v>
      </c>
      <c r="G336" s="509">
        <f>$G$317</f>
        <v>1204545823.6500001</v>
      </c>
      <c r="H336" s="509">
        <f>$H$317</f>
        <v>1145662860</v>
      </c>
      <c r="I336" s="509">
        <f>$I$317</f>
        <v>1965580205.8499999</v>
      </c>
      <c r="J336" s="508" t="s">
        <v>145</v>
      </c>
    </row>
    <row r="337" spans="1:10" ht="21" customHeight="1">
      <c r="A337" s="507" t="s">
        <v>63</v>
      </c>
      <c r="B337" s="508" t="s">
        <v>613</v>
      </c>
      <c r="C337" s="508" t="s">
        <v>397</v>
      </c>
      <c r="D337" s="509">
        <v>1040</v>
      </c>
      <c r="E337" s="509">
        <v>1040</v>
      </c>
      <c r="F337" s="509">
        <v>1040</v>
      </c>
      <c r="G337" s="509">
        <v>1040</v>
      </c>
      <c r="H337" s="509">
        <v>1040</v>
      </c>
      <c r="I337" s="509">
        <f>'CS6'!O32</f>
        <v>1040</v>
      </c>
      <c r="J337" s="508" t="s">
        <v>145</v>
      </c>
    </row>
    <row r="338" spans="1:10" ht="21" customHeight="1">
      <c r="A338" s="507" t="s">
        <v>63</v>
      </c>
      <c r="B338" s="508" t="s">
        <v>614</v>
      </c>
      <c r="C338" s="508" t="s">
        <v>411</v>
      </c>
      <c r="D338" s="509">
        <f>$D$301</f>
        <v>8.0000000000000004E-4</v>
      </c>
      <c r="E338" s="509">
        <f>$E$301</f>
        <v>8.0000000000000004E-4</v>
      </c>
      <c r="F338" s="509">
        <f>$F$301</f>
        <v>8.0000000000000004E-4</v>
      </c>
      <c r="G338" s="509">
        <f>$G$301</f>
        <v>8.0000000000000004E-4</v>
      </c>
      <c r="H338" s="509">
        <f>$H$301</f>
        <v>8.0000000000000004E-4</v>
      </c>
      <c r="I338" s="509">
        <f>$I$301</f>
        <v>8.0000000000000004E-4</v>
      </c>
      <c r="J338" s="508" t="s">
        <v>145</v>
      </c>
    </row>
    <row r="339" spans="1:10" ht="21" customHeight="1">
      <c r="A339" s="507" t="s">
        <v>63</v>
      </c>
      <c r="B339" s="508" t="s">
        <v>615</v>
      </c>
      <c r="C339" s="508" t="s">
        <v>411</v>
      </c>
      <c r="D339" s="509">
        <f>($D$333*$D$334*$D$335+$D$336*$D$337*$D$338/1000000)/2000</f>
        <v>0.39635963861000001</v>
      </c>
      <c r="E339" s="509">
        <f>($E$333*$E$334*$E$335+$E$336*$E$337*$E$338/1000000)/2000</f>
        <v>1.0730999641700001</v>
      </c>
      <c r="F339" s="509">
        <f>($F$333*$F$334*$F$335+$F$336*$F$337*$F$338/1000000)/2000</f>
        <v>0.99251775207000004</v>
      </c>
      <c r="G339" s="509">
        <f>($G$333*$G$334*$G$335+$G$336*$G$337*$G$338/1000000)/2000</f>
        <v>0.52016770203840013</v>
      </c>
      <c r="H339" s="509">
        <f>($H$333*$H$334*$H$335+$H$336*$H$337*$H$338/1000000)/2000</f>
        <v>0.96099903275999998</v>
      </c>
      <c r="I339" s="509">
        <f>($I$333*$I$334*$I$335+$I$336*$I$337*$I$338/1000000)/2000</f>
        <v>0.99299711988359995</v>
      </c>
      <c r="J339" s="508"/>
    </row>
    <row r="340" spans="1:10" ht="21" customHeight="1">
      <c r="A340" s="507" t="s">
        <v>63</v>
      </c>
      <c r="B340" s="508" t="s">
        <v>616</v>
      </c>
      <c r="C340" s="508" t="s">
        <v>411</v>
      </c>
      <c r="D340" s="509">
        <f>$D$316</f>
        <v>897043.98</v>
      </c>
      <c r="E340" s="509">
        <f>$E$316</f>
        <v>7883312.2199999997</v>
      </c>
      <c r="F340" s="509">
        <f>$F$316</f>
        <v>2939540.1</v>
      </c>
      <c r="G340" s="509">
        <f>$G$316</f>
        <v>195657.84</v>
      </c>
      <c r="H340" s="509">
        <f>$H$316</f>
        <v>4968238.8</v>
      </c>
      <c r="I340" s="509">
        <f>$I$316</f>
        <v>1798110.3</v>
      </c>
      <c r="J340" s="508" t="s">
        <v>146</v>
      </c>
    </row>
    <row r="341" spans="1:10" ht="21" customHeight="1">
      <c r="A341" s="507" t="s">
        <v>63</v>
      </c>
      <c r="B341" s="508" t="s">
        <v>617</v>
      </c>
      <c r="C341" s="508" t="s">
        <v>397</v>
      </c>
      <c r="D341" s="509">
        <v>0.15</v>
      </c>
      <c r="E341" s="509">
        <v>0.15</v>
      </c>
      <c r="F341" s="509">
        <v>0.15</v>
      </c>
      <c r="G341" s="509">
        <v>0.15</v>
      </c>
      <c r="H341" s="509">
        <v>0.15</v>
      </c>
      <c r="I341" s="509">
        <f>'CS6'!E38</f>
        <v>0.15</v>
      </c>
      <c r="J341" s="508" t="s">
        <v>146</v>
      </c>
    </row>
    <row r="342" spans="1:10" ht="21" customHeight="1">
      <c r="A342" s="507" t="s">
        <v>63</v>
      </c>
      <c r="B342" s="508" t="s">
        <v>618</v>
      </c>
      <c r="C342" s="508" t="s">
        <v>411</v>
      </c>
      <c r="D342" s="509">
        <f>$D$304</f>
        <v>2.75E-2</v>
      </c>
      <c r="E342" s="509">
        <f>$E$304</f>
        <v>2.75E-2</v>
      </c>
      <c r="F342" s="509">
        <f>$F$304</f>
        <v>2.75E-2</v>
      </c>
      <c r="G342" s="509">
        <f>$G$304</f>
        <v>2.75E-2</v>
      </c>
      <c r="H342" s="509">
        <f>$H$304</f>
        <v>2.75E-2</v>
      </c>
      <c r="I342" s="509">
        <f>$I$304</f>
        <v>2.75E-2</v>
      </c>
      <c r="J342" s="508" t="s">
        <v>146</v>
      </c>
    </row>
    <row r="343" spans="1:10" ht="21" customHeight="1">
      <c r="A343" s="507" t="s">
        <v>63</v>
      </c>
      <c r="B343" s="508" t="s">
        <v>619</v>
      </c>
      <c r="C343" s="508" t="s">
        <v>411</v>
      </c>
      <c r="D343" s="509">
        <f>$D$317</f>
        <v>742542910</v>
      </c>
      <c r="E343" s="509">
        <f>$E$317</f>
        <v>731915920</v>
      </c>
      <c r="F343" s="509">
        <f>$F$317</f>
        <v>1696905270</v>
      </c>
      <c r="G343" s="509">
        <f>$G$317</f>
        <v>1204545823.6500001</v>
      </c>
      <c r="H343" s="509">
        <f>$H$317</f>
        <v>1145662860</v>
      </c>
      <c r="I343" s="509">
        <f>$I$317</f>
        <v>1965580205.8499999</v>
      </c>
      <c r="J343" s="508" t="s">
        <v>146</v>
      </c>
    </row>
    <row r="344" spans="1:10" ht="21" customHeight="1">
      <c r="A344" s="507" t="s">
        <v>63</v>
      </c>
      <c r="B344" s="508" t="s">
        <v>620</v>
      </c>
      <c r="C344" s="508" t="s">
        <v>397</v>
      </c>
      <c r="D344" s="509">
        <v>1040</v>
      </c>
      <c r="E344" s="509">
        <v>1040</v>
      </c>
      <c r="F344" s="509">
        <v>1040</v>
      </c>
      <c r="G344" s="509">
        <v>1040</v>
      </c>
      <c r="H344" s="509">
        <v>1040</v>
      </c>
      <c r="I344" s="509">
        <f>'CS6'!O38</f>
        <v>1040</v>
      </c>
      <c r="J344" s="508" t="s">
        <v>146</v>
      </c>
    </row>
    <row r="345" spans="1:10" ht="21" customHeight="1">
      <c r="A345" s="507" t="s">
        <v>63</v>
      </c>
      <c r="B345" s="508" t="s">
        <v>621</v>
      </c>
      <c r="C345" s="508" t="s">
        <v>411</v>
      </c>
      <c r="D345" s="509">
        <f>$D$303</f>
        <v>5.0000000000000001E-3</v>
      </c>
      <c r="E345" s="509">
        <f>$E$303</f>
        <v>5.0000000000000001E-3</v>
      </c>
      <c r="F345" s="509">
        <f>$F$303</f>
        <v>5.0000000000000001E-3</v>
      </c>
      <c r="G345" s="509">
        <f>$G$303</f>
        <v>5.0000000000000001E-3</v>
      </c>
      <c r="H345" s="509">
        <f>$H$303</f>
        <v>5.0000000000000001E-3</v>
      </c>
      <c r="I345" s="509">
        <f>$I$303</f>
        <v>5.0000000000000001E-3</v>
      </c>
      <c r="J345" s="508" t="s">
        <v>146</v>
      </c>
    </row>
    <row r="346" spans="1:10" ht="21" customHeight="1">
      <c r="A346" s="507" t="s">
        <v>63</v>
      </c>
      <c r="B346" s="508" t="s">
        <v>622</v>
      </c>
      <c r="C346" s="508" t="s">
        <v>411</v>
      </c>
      <c r="D346" s="509">
        <f>($D$340*$D$341*$D$342+$D$343*$D$344*$D$345/1000000)/2000</f>
        <v>3.7807647747499997</v>
      </c>
      <c r="E346" s="509">
        <f>($E$340*$E$341*$E$342+$E$343*$E$344*$E$345/1000000)/2000</f>
        <v>18.162312845749998</v>
      </c>
      <c r="F346" s="509">
        <f>($F$340*$F$341*$F$342+$F$343*$F$344*$F$345/1000000)/2000</f>
        <v>10.47475515825</v>
      </c>
      <c r="G346" s="509">
        <f>($G$340*$G$341*$G$342+$G$343*$G$344*$G$345/1000000)/2000</f>
        <v>3.5353634364900004</v>
      </c>
      <c r="H346" s="509">
        <f>($H$340*$H$341*$H$342+$H$343*$H$344*$H$345/1000000)/2000</f>
        <v>13.225715961000001</v>
      </c>
      <c r="I346" s="509">
        <f>($I$340*$I$341*$I$342+$I$343*$I$344*$I$345/1000000)/2000</f>
        <v>8.8191110289600001</v>
      </c>
      <c r="J346" s="508"/>
    </row>
    <row r="347" spans="1:10" ht="21" customHeight="1">
      <c r="A347" s="507" t="s">
        <v>63</v>
      </c>
      <c r="B347" s="508" t="s">
        <v>521</v>
      </c>
      <c r="C347" s="508" t="s">
        <v>411</v>
      </c>
      <c r="D347" s="509">
        <f>$D$316</f>
        <v>897043.98</v>
      </c>
      <c r="E347" s="509">
        <f>$E$316</f>
        <v>7883312.2199999997</v>
      </c>
      <c r="F347" s="509">
        <f>$F$316</f>
        <v>2939540.1</v>
      </c>
      <c r="G347" s="509">
        <f>$G$316</f>
        <v>195657.84</v>
      </c>
      <c r="H347" s="509">
        <f>$H$316</f>
        <v>4968238.8</v>
      </c>
      <c r="I347" s="509">
        <f>$I$316</f>
        <v>1798110.3</v>
      </c>
      <c r="J347" s="508" t="s">
        <v>147</v>
      </c>
    </row>
    <row r="348" spans="1:10" ht="21" customHeight="1">
      <c r="A348" s="507" t="s">
        <v>63</v>
      </c>
      <c r="B348" s="508" t="s">
        <v>623</v>
      </c>
      <c r="C348" s="508" t="s">
        <v>397</v>
      </c>
      <c r="D348" s="509">
        <v>0.15</v>
      </c>
      <c r="E348" s="509">
        <v>0.15</v>
      </c>
      <c r="F348" s="509">
        <v>0.15</v>
      </c>
      <c r="G348" s="509">
        <v>0.15</v>
      </c>
      <c r="H348" s="509">
        <v>0.15</v>
      </c>
      <c r="I348" s="509">
        <f>'CS6'!E44</f>
        <v>0.15</v>
      </c>
      <c r="J348" s="508" t="s">
        <v>147</v>
      </c>
    </row>
    <row r="349" spans="1:10" ht="21" customHeight="1">
      <c r="A349" s="507" t="s">
        <v>63</v>
      </c>
      <c r="B349" s="508" t="s">
        <v>624</v>
      </c>
      <c r="C349" s="508" t="s">
        <v>411</v>
      </c>
      <c r="D349" s="509">
        <f>$D$306</f>
        <v>0.04</v>
      </c>
      <c r="E349" s="509">
        <f>$E$306</f>
        <v>0.04</v>
      </c>
      <c r="F349" s="509">
        <f>$F$306</f>
        <v>0.04</v>
      </c>
      <c r="G349" s="509">
        <f>$G$306</f>
        <v>0.04</v>
      </c>
      <c r="H349" s="509">
        <f>$H$306</f>
        <v>0.04</v>
      </c>
      <c r="I349" s="509">
        <f>$I$306</f>
        <v>0.04</v>
      </c>
      <c r="J349" s="508" t="s">
        <v>147</v>
      </c>
    </row>
    <row r="350" spans="1:10" ht="21" customHeight="1">
      <c r="A350" s="507" t="s">
        <v>63</v>
      </c>
      <c r="B350" s="508" t="s">
        <v>625</v>
      </c>
      <c r="C350" s="508" t="s">
        <v>411</v>
      </c>
      <c r="D350" s="509">
        <f>$D$317</f>
        <v>742542910</v>
      </c>
      <c r="E350" s="509">
        <f>$E$317</f>
        <v>731915920</v>
      </c>
      <c r="F350" s="509">
        <f>$F$317</f>
        <v>1696905270</v>
      </c>
      <c r="G350" s="509">
        <f>$G$317</f>
        <v>1204545823.6500001</v>
      </c>
      <c r="H350" s="509">
        <f>$H$317</f>
        <v>1145662860</v>
      </c>
      <c r="I350" s="509">
        <f>$I$317</f>
        <v>1965580205.8499999</v>
      </c>
      <c r="J350" s="508" t="s">
        <v>147</v>
      </c>
    </row>
    <row r="351" spans="1:10" ht="21" customHeight="1">
      <c r="A351" s="507" t="s">
        <v>63</v>
      </c>
      <c r="B351" s="508" t="s">
        <v>626</v>
      </c>
      <c r="C351" s="508" t="s">
        <v>397</v>
      </c>
      <c r="D351" s="509">
        <v>1040</v>
      </c>
      <c r="E351" s="509">
        <v>1040</v>
      </c>
      <c r="F351" s="509">
        <v>1040</v>
      </c>
      <c r="G351" s="509">
        <v>1040</v>
      </c>
      <c r="H351" s="509">
        <v>1040</v>
      </c>
      <c r="I351" s="509">
        <f>'CS6'!O44</f>
        <v>1040</v>
      </c>
      <c r="J351" s="508" t="s">
        <v>147</v>
      </c>
    </row>
    <row r="352" spans="1:10" ht="21" customHeight="1">
      <c r="A352" s="507" t="s">
        <v>63</v>
      </c>
      <c r="B352" s="508" t="s">
        <v>627</v>
      </c>
      <c r="C352" s="508" t="s">
        <v>411</v>
      </c>
      <c r="D352" s="509">
        <f>$D$305</f>
        <v>8.0999999999999996E-3</v>
      </c>
      <c r="E352" s="509">
        <f>$E$305</f>
        <v>8.0999999999999996E-3</v>
      </c>
      <c r="F352" s="509">
        <f>$F$305</f>
        <v>8.0999999999999996E-3</v>
      </c>
      <c r="G352" s="509">
        <f>$G$305</f>
        <v>8.0999999999999996E-3</v>
      </c>
      <c r="H352" s="509">
        <f>$H$305</f>
        <v>8.0999999999999996E-3</v>
      </c>
      <c r="I352" s="509">
        <f>$I$305</f>
        <v>8.0999999999999996E-3</v>
      </c>
      <c r="J352" s="508" t="s">
        <v>147</v>
      </c>
    </row>
    <row r="353" spans="1:10" ht="21" customHeight="1">
      <c r="A353" s="507" t="s">
        <v>63</v>
      </c>
      <c r="B353" s="508" t="s">
        <v>527</v>
      </c>
      <c r="C353" s="508" t="s">
        <v>411</v>
      </c>
      <c r="D353" s="509">
        <f>($D$347*$D$348*$D$349+$D$350*$D$351*$D$352/1000000)/2000</f>
        <v>5.8187226769199984</v>
      </c>
      <c r="E353" s="509">
        <f>($E$347*$E$348*$E$349+$E$350*$E$351*$E$352/1000000)/2000</f>
        <v>26.732766515039998</v>
      </c>
      <c r="F353" s="509">
        <f>($F$347*$F$348*$F$349+$F$350*$F$351*$F$352/1000000)/2000</f>
        <v>15.96598529724</v>
      </c>
      <c r="G353" s="509">
        <f>($G$347*$G$348*$G$349+$G$350*$G$351*$G$352/1000000)/2000</f>
        <v>5.6605205292137999</v>
      </c>
      <c r="H353" s="509">
        <f>($H$347*$H$348*$H$349+$H$350*$H$351*$H$352/1000000)/2000</f>
        <v>19.730248366320001</v>
      </c>
      <c r="I353" s="509">
        <f>($I$347*$I$348*$I$349+$I$350*$I$351*$I$352/1000000)/2000</f>
        <v>13.673354727040198</v>
      </c>
      <c r="J353" s="508"/>
    </row>
    <row r="354" spans="1:10" ht="21" customHeight="1">
      <c r="A354" s="507" t="s">
        <v>63</v>
      </c>
      <c r="B354" s="508" t="s">
        <v>628</v>
      </c>
      <c r="C354" s="508" t="s">
        <v>411</v>
      </c>
      <c r="D354" s="509">
        <f>$D$316</f>
        <v>897043.98</v>
      </c>
      <c r="E354" s="509">
        <f>$E$316</f>
        <v>7883312.2199999997</v>
      </c>
      <c r="F354" s="509">
        <f>$F$316</f>
        <v>2939540.1</v>
      </c>
      <c r="G354" s="509">
        <f>$G$316</f>
        <v>195657.84</v>
      </c>
      <c r="H354" s="509">
        <f>$H$316</f>
        <v>4968238.8</v>
      </c>
      <c r="I354" s="509">
        <f>$I$316</f>
        <v>1798110.3</v>
      </c>
      <c r="J354" s="508" t="s">
        <v>148</v>
      </c>
    </row>
    <row r="355" spans="1:10" ht="21" customHeight="1">
      <c r="A355" s="507" t="s">
        <v>63</v>
      </c>
      <c r="B355" s="508" t="s">
        <v>629</v>
      </c>
      <c r="C355" s="508" t="s">
        <v>397</v>
      </c>
      <c r="D355" s="509">
        <v>0.15</v>
      </c>
      <c r="E355" s="509">
        <v>0.15</v>
      </c>
      <c r="F355" s="509">
        <v>0.15</v>
      </c>
      <c r="G355" s="509">
        <v>0.15</v>
      </c>
      <c r="H355" s="509">
        <v>0.15</v>
      </c>
      <c r="I355" s="509">
        <f>'CS6'!E50</f>
        <v>0.15</v>
      </c>
      <c r="J355" s="508" t="s">
        <v>148</v>
      </c>
    </row>
    <row r="356" spans="1:10" ht="21" customHeight="1">
      <c r="A356" s="507" t="s">
        <v>63</v>
      </c>
      <c r="B356" s="508" t="s">
        <v>630</v>
      </c>
      <c r="C356" s="508" t="s">
        <v>411</v>
      </c>
      <c r="D356" s="509">
        <f>$D$308</f>
        <v>3.3000000000000002E-2</v>
      </c>
      <c r="E356" s="509">
        <f>$E$308</f>
        <v>3.3000000000000002E-2</v>
      </c>
      <c r="F356" s="509">
        <f>$F$308</f>
        <v>3.3000000000000002E-2</v>
      </c>
      <c r="G356" s="509">
        <f>$G$308</f>
        <v>3.3000000000000002E-2</v>
      </c>
      <c r="H356" s="509">
        <f>$H$308</f>
        <v>3.3000000000000002E-2</v>
      </c>
      <c r="I356" s="509">
        <f>$I$308</f>
        <v>3.3000000000000002E-2</v>
      </c>
      <c r="J356" s="508" t="s">
        <v>148</v>
      </c>
    </row>
    <row r="357" spans="1:10" ht="21" customHeight="1">
      <c r="A357" s="507" t="s">
        <v>63</v>
      </c>
      <c r="B357" s="508" t="s">
        <v>631</v>
      </c>
      <c r="C357" s="508" t="s">
        <v>411</v>
      </c>
      <c r="D357" s="509">
        <f>$D$317</f>
        <v>742542910</v>
      </c>
      <c r="E357" s="509">
        <f>$E$317</f>
        <v>731915920</v>
      </c>
      <c r="F357" s="509">
        <f>$F$317</f>
        <v>1696905270</v>
      </c>
      <c r="G357" s="509">
        <f>$G$317</f>
        <v>1204545823.6500001</v>
      </c>
      <c r="H357" s="509">
        <f>$H$317</f>
        <v>1145662860</v>
      </c>
      <c r="I357" s="509">
        <f>$I$317</f>
        <v>1965580205.8499999</v>
      </c>
      <c r="J357" s="508" t="s">
        <v>148</v>
      </c>
    </row>
    <row r="358" spans="1:10" ht="21" customHeight="1">
      <c r="A358" s="507" t="s">
        <v>63</v>
      </c>
      <c r="B358" s="508" t="s">
        <v>632</v>
      </c>
      <c r="C358" s="508" t="s">
        <v>397</v>
      </c>
      <c r="D358" s="509">
        <v>1040</v>
      </c>
      <c r="E358" s="509">
        <v>1040</v>
      </c>
      <c r="F358" s="509">
        <v>1040</v>
      </c>
      <c r="G358" s="509">
        <v>1040</v>
      </c>
      <c r="H358" s="509">
        <v>1040</v>
      </c>
      <c r="I358" s="509">
        <f>'CS6'!O50</f>
        <v>1040</v>
      </c>
      <c r="J358" s="508" t="s">
        <v>148</v>
      </c>
    </row>
    <row r="359" spans="1:10" ht="21" customHeight="1">
      <c r="A359" s="507" t="s">
        <v>63</v>
      </c>
      <c r="B359" s="508" t="s">
        <v>633</v>
      </c>
      <c r="C359" s="508" t="s">
        <v>411</v>
      </c>
      <c r="D359" s="509">
        <f>$D$307</f>
        <v>7.4999999999999997E-3</v>
      </c>
      <c r="E359" s="509">
        <f>$E$307</f>
        <v>7.4999999999999997E-3</v>
      </c>
      <c r="F359" s="509">
        <f>$F$307</f>
        <v>7.4999999999999997E-3</v>
      </c>
      <c r="G359" s="509">
        <f>$G$307</f>
        <v>7.4999999999999997E-3</v>
      </c>
      <c r="H359" s="509">
        <f>$H$307</f>
        <v>7.4999999999999997E-3</v>
      </c>
      <c r="I359" s="509">
        <f>$I$307</f>
        <v>7.4999999999999997E-3</v>
      </c>
      <c r="J359" s="508" t="s">
        <v>148</v>
      </c>
    </row>
    <row r="360" spans="1:10" ht="21" customHeight="1">
      <c r="A360" s="507" t="s">
        <v>63</v>
      </c>
      <c r="B360" s="508" t="s">
        <v>634</v>
      </c>
      <c r="C360" s="508" t="s">
        <v>411</v>
      </c>
      <c r="D360" s="509">
        <f>($D$354*$D$355*$D$356+$D$357*$D$358*$D$359/1000000)/2000</f>
        <v>5.1161011994999992</v>
      </c>
      <c r="E360" s="509">
        <f>($E$354*$E$355*$E$356+$E$357*$E$358*$E$359/1000000)/2000</f>
        <v>22.365669832499997</v>
      </c>
      <c r="F360" s="509">
        <f>($F$354*$F$355*$F$356+$F$357*$F$358*$F$359/1000000)/2000</f>
        <v>13.893292300500001</v>
      </c>
      <c r="G360" s="509">
        <f>($G$354*$G$355*$G$356+$G$357*$G$358*$G$359/1000000)/2000</f>
        <v>5.1819818662349997</v>
      </c>
      <c r="H360" s="509">
        <f>($H$354*$H$355*$H$356+$H$357*$H$358*$H$359/1000000)/2000</f>
        <v>16.764476183999999</v>
      </c>
      <c r="I360" s="509">
        <f>($I$354*$I$355*$I$356+$I$357*$I$358*$I$359/1000000)/2000</f>
        <v>12.116085795315</v>
      </c>
      <c r="J360" s="508"/>
    </row>
    <row r="361" spans="1:10" ht="21" customHeight="1">
      <c r="A361" s="507" t="s">
        <v>63</v>
      </c>
      <c r="B361" s="508" t="s">
        <v>635</v>
      </c>
      <c r="C361" s="508" t="s">
        <v>411</v>
      </c>
      <c r="D361" s="509">
        <f>$D$316</f>
        <v>897043.98</v>
      </c>
      <c r="E361" s="509">
        <f>$E$316</f>
        <v>7883312.2199999997</v>
      </c>
      <c r="F361" s="509">
        <f>$F$316</f>
        <v>2939540.1</v>
      </c>
      <c r="G361" s="509">
        <f>$G$316</f>
        <v>195657.84</v>
      </c>
      <c r="H361" s="509">
        <f>$H$316</f>
        <v>4968238.8</v>
      </c>
      <c r="I361" s="509">
        <f>$I$316</f>
        <v>1798110.3</v>
      </c>
      <c r="J361" s="508" t="s">
        <v>149</v>
      </c>
    </row>
    <row r="362" spans="1:10" ht="21" customHeight="1">
      <c r="A362" s="507" t="s">
        <v>63</v>
      </c>
      <c r="B362" s="508" t="s">
        <v>636</v>
      </c>
      <c r="C362" s="508" t="s">
        <v>411</v>
      </c>
      <c r="D362" s="509">
        <f>(157)*$D$318</f>
        <v>73.789999999999992</v>
      </c>
      <c r="E362" s="509">
        <f>(157)*$E$318</f>
        <v>73.789999999999992</v>
      </c>
      <c r="F362" s="509">
        <f>(157)*$F$318</f>
        <v>75.36</v>
      </c>
      <c r="G362" s="509">
        <f>(157)*$G$318</f>
        <v>75.36</v>
      </c>
      <c r="H362" s="509">
        <f>(157)*$H$318</f>
        <v>76.929999999999993</v>
      </c>
      <c r="I362" s="509">
        <f>(157)*$I$318</f>
        <v>73.789999999999992</v>
      </c>
      <c r="J362" s="508" t="s">
        <v>149</v>
      </c>
    </row>
    <row r="363" spans="1:10" ht="21" customHeight="1">
      <c r="A363" s="507" t="s">
        <v>63</v>
      </c>
      <c r="B363" s="508" t="s">
        <v>637</v>
      </c>
      <c r="C363" s="508" t="s">
        <v>411</v>
      </c>
      <c r="D363" s="509">
        <f>$D$317</f>
        <v>742542910</v>
      </c>
      <c r="E363" s="509">
        <f>$E$317</f>
        <v>731915920</v>
      </c>
      <c r="F363" s="509">
        <f>$F$317</f>
        <v>1696905270</v>
      </c>
      <c r="G363" s="509">
        <f>$G$317</f>
        <v>1204545823.6500001</v>
      </c>
      <c r="H363" s="509">
        <f>$H$317</f>
        <v>1145662860</v>
      </c>
      <c r="I363" s="509">
        <f>$I$317</f>
        <v>1965580205.8499999</v>
      </c>
      <c r="J363" s="508" t="s">
        <v>149</v>
      </c>
    </row>
    <row r="364" spans="1:10" ht="21" customHeight="1">
      <c r="A364" s="507" t="s">
        <v>63</v>
      </c>
      <c r="B364" s="508" t="s">
        <v>638</v>
      </c>
      <c r="C364" s="508" t="s">
        <v>397</v>
      </c>
      <c r="D364" s="509">
        <v>1040</v>
      </c>
      <c r="E364" s="509">
        <v>1040</v>
      </c>
      <c r="F364" s="509">
        <v>1040</v>
      </c>
      <c r="G364" s="509">
        <v>1040</v>
      </c>
      <c r="H364" s="509">
        <v>1040</v>
      </c>
      <c r="I364" s="509">
        <f>'CS6'!O56</f>
        <v>1040</v>
      </c>
      <c r="J364" s="508" t="s">
        <v>149</v>
      </c>
    </row>
    <row r="365" spans="1:10" ht="21" customHeight="1">
      <c r="A365" s="507" t="s">
        <v>63</v>
      </c>
      <c r="B365" s="508" t="s">
        <v>639</v>
      </c>
      <c r="C365" s="508" t="s">
        <v>411</v>
      </c>
      <c r="D365" s="509">
        <f>$D$309</f>
        <v>4.0000000000000001E-3</v>
      </c>
      <c r="E365" s="509">
        <f>$E$309</f>
        <v>4.0000000000000001E-3</v>
      </c>
      <c r="F365" s="509">
        <f>$F$309</f>
        <v>4.0000000000000001E-3</v>
      </c>
      <c r="G365" s="509">
        <f>$G$309</f>
        <v>4.0000000000000001E-3</v>
      </c>
      <c r="H365" s="509">
        <f>$H$309</f>
        <v>4.0000000000000001E-3</v>
      </c>
      <c r="I365" s="509">
        <f>$I$309</f>
        <v>4.0000000000000001E-3</v>
      </c>
      <c r="J365" s="508" t="s">
        <v>149</v>
      </c>
    </row>
    <row r="366" spans="1:10" ht="21" customHeight="1">
      <c r="A366" s="507" t="s">
        <v>63</v>
      </c>
      <c r="B366" s="508" t="s">
        <v>640</v>
      </c>
      <c r="C366" s="508" t="s">
        <v>397</v>
      </c>
      <c r="D366" s="509">
        <v>1000</v>
      </c>
      <c r="E366" s="509">
        <v>1000</v>
      </c>
      <c r="F366" s="509">
        <v>1000</v>
      </c>
      <c r="G366" s="509">
        <v>1000</v>
      </c>
      <c r="H366" s="509">
        <v>1000</v>
      </c>
      <c r="I366" s="509">
        <f>'CS6'!H57</f>
        <v>1000</v>
      </c>
      <c r="J366" s="508"/>
    </row>
    <row r="367" spans="1:10" ht="21" customHeight="1">
      <c r="A367" s="507" t="s">
        <v>63</v>
      </c>
      <c r="B367" s="508" t="s">
        <v>641</v>
      </c>
      <c r="C367" s="508" t="s">
        <v>411</v>
      </c>
      <c r="D367" s="509">
        <f>($D$361*$D$362/$D$366+$D$363*$D$364*$D$365/1000000)/2000</f>
        <v>34.640926894899998</v>
      </c>
      <c r="E367" s="509">
        <f>($E$361*$E$362/$E$366+$E$363*$E$364*$E$365/1000000)/2000</f>
        <v>292.37718947050001</v>
      </c>
      <c r="F367" s="509">
        <f>($F$361*$F$362/$F$366+$F$363*$F$364*$F$365/1000000)/2000</f>
        <v>114.29143392959999</v>
      </c>
      <c r="G367" s="509">
        <f>($G$361*$G$362/$G$366+$G$363*$G$364*$G$365/1000000)/2000</f>
        <v>9.877842724392</v>
      </c>
      <c r="H367" s="509">
        <f>($H$361*$H$362/$H$366+$H$363*$H$364*$H$365/1000000)/2000</f>
        <v>193.48628419079998</v>
      </c>
      <c r="I367" s="509">
        <f>($I$361*$I$362/$I$366+$I$363*$I$364*$I$365/1000000)/2000</f>
        <v>70.429686346667992</v>
      </c>
      <c r="J367" s="508"/>
    </row>
    <row r="368" spans="1:10" ht="21" customHeight="1">
      <c r="A368" s="507" t="s">
        <v>63</v>
      </c>
      <c r="B368" s="508" t="s">
        <v>581</v>
      </c>
      <c r="C368" s="508" t="s">
        <v>411</v>
      </c>
      <c r="D368" s="509">
        <f>$D$316</f>
        <v>897043.98</v>
      </c>
      <c r="E368" s="509">
        <f>$E$316</f>
        <v>7883312.2199999997</v>
      </c>
      <c r="F368" s="509">
        <f>$F$316</f>
        <v>2939540.1</v>
      </c>
      <c r="G368" s="509">
        <f>$G$316</f>
        <v>195657.84</v>
      </c>
      <c r="H368" s="509">
        <f>$H$316</f>
        <v>4968238.8</v>
      </c>
      <c r="I368" s="509">
        <f>$I$316</f>
        <v>1798110.3</v>
      </c>
      <c r="J368" s="508" t="s">
        <v>151</v>
      </c>
    </row>
    <row r="369" spans="1:10" ht="21" customHeight="1">
      <c r="A369" s="507" t="s">
        <v>63</v>
      </c>
      <c r="B369" s="508" t="s">
        <v>642</v>
      </c>
      <c r="C369" s="508" t="s">
        <v>397</v>
      </c>
      <c r="D369" s="509">
        <v>0.15</v>
      </c>
      <c r="E369" s="509">
        <v>0.15</v>
      </c>
      <c r="F369" s="509">
        <v>0.15</v>
      </c>
      <c r="G369" s="509">
        <v>0.15</v>
      </c>
      <c r="H369" s="509">
        <v>0.15</v>
      </c>
      <c r="I369" s="509">
        <f>'CS6'!E62</f>
        <v>0.15</v>
      </c>
      <c r="J369" s="508" t="s">
        <v>151</v>
      </c>
    </row>
    <row r="370" spans="1:10" ht="21" customHeight="1">
      <c r="A370" s="507" t="s">
        <v>63</v>
      </c>
      <c r="B370" s="508" t="s">
        <v>643</v>
      </c>
      <c r="C370" s="508" t="s">
        <v>411</v>
      </c>
      <c r="D370" s="509">
        <f>$D$311</f>
        <v>2.2589999999999999E-2</v>
      </c>
      <c r="E370" s="509">
        <f>$E$311</f>
        <v>2.2589999999999999E-2</v>
      </c>
      <c r="F370" s="509">
        <f>$F$311</f>
        <v>2.2589999999999999E-2</v>
      </c>
      <c r="G370" s="509">
        <f>$G$311</f>
        <v>2.2589999999999999E-2</v>
      </c>
      <c r="H370" s="509">
        <f>$H$311</f>
        <v>2.2589999999999999E-2</v>
      </c>
      <c r="I370" s="509">
        <f>$I$311</f>
        <v>2.2589999999999999E-2</v>
      </c>
      <c r="J370" s="508" t="s">
        <v>151</v>
      </c>
    </row>
    <row r="371" spans="1:10" ht="21" customHeight="1">
      <c r="A371" s="507" t="s">
        <v>63</v>
      </c>
      <c r="B371" s="508" t="s">
        <v>644</v>
      </c>
      <c r="C371" s="508" t="s">
        <v>411</v>
      </c>
      <c r="D371" s="509">
        <f>$D$317</f>
        <v>742542910</v>
      </c>
      <c r="E371" s="509">
        <f>$E$317</f>
        <v>731915920</v>
      </c>
      <c r="F371" s="509">
        <f>$F$317</f>
        <v>1696905270</v>
      </c>
      <c r="G371" s="509">
        <f>$G$317</f>
        <v>1204545823.6500001</v>
      </c>
      <c r="H371" s="509">
        <f>$H$317</f>
        <v>1145662860</v>
      </c>
      <c r="I371" s="509">
        <f>$I$317</f>
        <v>1965580205.8499999</v>
      </c>
      <c r="J371" s="508" t="s">
        <v>151</v>
      </c>
    </row>
    <row r="372" spans="1:10" ht="21" customHeight="1">
      <c r="A372" s="507" t="s">
        <v>63</v>
      </c>
      <c r="B372" s="508" t="s">
        <v>645</v>
      </c>
      <c r="C372" s="508" t="s">
        <v>397</v>
      </c>
      <c r="D372" s="509">
        <v>1040</v>
      </c>
      <c r="E372" s="509">
        <v>1040</v>
      </c>
      <c r="F372" s="509">
        <v>1040</v>
      </c>
      <c r="G372" s="509">
        <v>1040</v>
      </c>
      <c r="H372" s="509">
        <v>1040</v>
      </c>
      <c r="I372" s="509">
        <f>'CS6'!O62</f>
        <v>1040</v>
      </c>
      <c r="J372" s="508" t="s">
        <v>151</v>
      </c>
    </row>
    <row r="373" spans="1:10" ht="21" customHeight="1">
      <c r="A373" s="507" t="s">
        <v>63</v>
      </c>
      <c r="B373" s="508" t="s">
        <v>646</v>
      </c>
      <c r="C373" s="508" t="s">
        <v>411</v>
      </c>
      <c r="D373" s="509">
        <f>$D$310</f>
        <v>4.2999999999999999E-4</v>
      </c>
      <c r="E373" s="509">
        <f>$E$310</f>
        <v>4.2999999999999999E-4</v>
      </c>
      <c r="F373" s="509">
        <f>$F$310</f>
        <v>4.2999999999999999E-4</v>
      </c>
      <c r="G373" s="509">
        <f>$G$310</f>
        <v>4.2999999999999999E-4</v>
      </c>
      <c r="H373" s="509">
        <f>$H$310</f>
        <v>4.2999999999999999E-4</v>
      </c>
      <c r="I373" s="509">
        <f>$I$310</f>
        <v>4.2999999999999999E-4</v>
      </c>
      <c r="J373" s="508" t="s">
        <v>151</v>
      </c>
    </row>
    <row r="374" spans="1:10" ht="21" customHeight="1">
      <c r="A374" s="507" t="s">
        <v>63</v>
      </c>
      <c r="B374" s="508" t="s">
        <v>647</v>
      </c>
      <c r="C374" s="508" t="s">
        <v>411</v>
      </c>
      <c r="D374" s="509">
        <f>($D$368*$D$369*$D$370+$D$371*$D$372*$D$373/1000000)/2000</f>
        <v>1.6858493577909996</v>
      </c>
      <c r="E374" s="509">
        <f>($E$368*$E$369*$E$370+$E$371*$E$372*$E$373/1000000)/2000</f>
        <v>13.519958128446996</v>
      </c>
      <c r="F374" s="509">
        <f>($F$368*$F$369*$F$370+$F$371*$F$372*$F$373/1000000)/2000</f>
        <v>5.3597438327970002</v>
      </c>
      <c r="G374" s="509">
        <f>($G$368*$G$369*$G$370+$G$371*$G$372*$G$373/1000000)/2000</f>
        <v>0.60082974158813995</v>
      </c>
      <c r="H374" s="509">
        <f>($H$368*$H$369*$H$370+$H$371*$H$372*$H$373/1000000)/2000</f>
        <v>8.6736088023960001</v>
      </c>
      <c r="I374" s="509">
        <f>($I$368*$I$369*$I$370+$I$371*$I$372*$I$373/1000000)/2000</f>
        <v>3.4859521098030597</v>
      </c>
      <c r="J374" s="508"/>
    </row>
    <row r="375" spans="1:10" ht="21" customHeight="1">
      <c r="A375" s="507" t="s">
        <v>63</v>
      </c>
      <c r="B375" s="508" t="s">
        <v>648</v>
      </c>
      <c r="C375" s="508" t="s">
        <v>411</v>
      </c>
      <c r="D375" s="509">
        <f>$D$316</f>
        <v>897043.98</v>
      </c>
      <c r="E375" s="509">
        <f>$E$316</f>
        <v>7883312.2199999997</v>
      </c>
      <c r="F375" s="509">
        <f>$F$316</f>
        <v>2939540.1</v>
      </c>
      <c r="G375" s="509">
        <f>$G$316</f>
        <v>195657.84</v>
      </c>
      <c r="H375" s="509">
        <f>$H$316</f>
        <v>4968238.8</v>
      </c>
      <c r="I375" s="509">
        <f>$I$316</f>
        <v>1798110.3</v>
      </c>
      <c r="J375" s="508" t="s">
        <v>152</v>
      </c>
    </row>
    <row r="376" spans="1:10" ht="21" customHeight="1">
      <c r="A376" s="507" t="s">
        <v>63</v>
      </c>
      <c r="B376" s="508" t="s">
        <v>649</v>
      </c>
      <c r="C376" s="508" t="s">
        <v>397</v>
      </c>
      <c r="D376" s="509">
        <v>0.15</v>
      </c>
      <c r="E376" s="509">
        <v>0.15</v>
      </c>
      <c r="F376" s="509">
        <v>0.15</v>
      </c>
      <c r="G376" s="509">
        <v>0.15</v>
      </c>
      <c r="H376" s="509">
        <v>0.15</v>
      </c>
      <c r="I376" s="509">
        <f>'CS6'!E68</f>
        <v>0.15</v>
      </c>
      <c r="J376" s="508" t="s">
        <v>152</v>
      </c>
    </row>
    <row r="377" spans="1:10" ht="21" customHeight="1">
      <c r="A377" s="507" t="s">
        <v>63</v>
      </c>
      <c r="B377" s="508" t="s">
        <v>650</v>
      </c>
      <c r="C377" s="508" t="s">
        <v>411</v>
      </c>
      <c r="D377" s="509">
        <f>$D$314</f>
        <v>4.6299999999999997E-6</v>
      </c>
      <c r="E377" s="509">
        <f>$E$314</f>
        <v>4.6299999999999997E-6</v>
      </c>
      <c r="F377" s="509">
        <f>$F$314</f>
        <v>4.6299999999999997E-6</v>
      </c>
      <c r="G377" s="509">
        <f>$G$314</f>
        <v>4.6299999999999997E-6</v>
      </c>
      <c r="H377" s="509">
        <f>$H$314</f>
        <v>4.6299999999999997E-6</v>
      </c>
      <c r="I377" s="509">
        <f>$I$314</f>
        <v>4.6299999999999997E-6</v>
      </c>
      <c r="J377" s="508" t="s">
        <v>152</v>
      </c>
    </row>
    <row r="378" spans="1:10" ht="21" customHeight="1">
      <c r="A378" s="507" t="s">
        <v>63</v>
      </c>
      <c r="B378" s="508" t="s">
        <v>651</v>
      </c>
      <c r="C378" s="508" t="s">
        <v>411</v>
      </c>
      <c r="D378" s="509">
        <f>$D$317</f>
        <v>742542910</v>
      </c>
      <c r="E378" s="509">
        <f>$E$317</f>
        <v>731915920</v>
      </c>
      <c r="F378" s="509">
        <f>$F$317</f>
        <v>1696905270</v>
      </c>
      <c r="G378" s="509">
        <f>$G$317</f>
        <v>1204545823.6500001</v>
      </c>
      <c r="H378" s="509">
        <f>$H$317</f>
        <v>1145662860</v>
      </c>
      <c r="I378" s="509">
        <f>$I$317</f>
        <v>1965580205.8499999</v>
      </c>
      <c r="J378" s="508" t="s">
        <v>152</v>
      </c>
    </row>
    <row r="379" spans="1:10" ht="21" customHeight="1">
      <c r="A379" s="507" t="s">
        <v>63</v>
      </c>
      <c r="B379" s="508" t="s">
        <v>652</v>
      </c>
      <c r="C379" s="508" t="s">
        <v>397</v>
      </c>
      <c r="D379" s="509">
        <v>1040</v>
      </c>
      <c r="E379" s="509">
        <v>1040</v>
      </c>
      <c r="F379" s="509">
        <v>1040</v>
      </c>
      <c r="G379" s="509">
        <v>1040</v>
      </c>
      <c r="H379" s="509">
        <v>1040</v>
      </c>
      <c r="I379" s="509">
        <f>'CS6'!O68</f>
        <v>1040</v>
      </c>
      <c r="J379" s="508" t="s">
        <v>152</v>
      </c>
    </row>
    <row r="380" spans="1:10" ht="21" customHeight="1">
      <c r="A380" s="507" t="s">
        <v>63</v>
      </c>
      <c r="B380" s="508" t="s">
        <v>653</v>
      </c>
      <c r="C380" s="508" t="s">
        <v>411</v>
      </c>
      <c r="D380" s="509">
        <f>$D$313</f>
        <v>0</v>
      </c>
      <c r="E380" s="509">
        <f>$E$313</f>
        <v>0</v>
      </c>
      <c r="F380" s="509">
        <f>$F$313</f>
        <v>0</v>
      </c>
      <c r="G380" s="509">
        <f>$G$313</f>
        <v>0</v>
      </c>
      <c r="H380" s="509">
        <f>$H$313</f>
        <v>0</v>
      </c>
      <c r="I380" s="509">
        <f>$I$313</f>
        <v>0</v>
      </c>
      <c r="J380" s="508" t="s">
        <v>152</v>
      </c>
    </row>
    <row r="381" spans="1:10" ht="21" customHeight="1">
      <c r="A381" s="507" t="s">
        <v>63</v>
      </c>
      <c r="B381" s="508" t="s">
        <v>586</v>
      </c>
      <c r="C381" s="508" t="s">
        <v>411</v>
      </c>
      <c r="D381" s="509">
        <f>($D$375*$D$376*$D$377+$D$378*$D$379*$D$380/1000000)/2000</f>
        <v>3.1149852205499993E-4</v>
      </c>
      <c r="E381" s="509">
        <f>($E$375*$E$376*$E$377+$E$378*$E$379*$E$380/1000000)/2000</f>
        <v>2.7374801683949994E-3</v>
      </c>
      <c r="F381" s="509">
        <f>($F$375*$F$376*$F$377+$F$378*$F$379*$F$380/1000000)/2000</f>
        <v>1.020755299725E-3</v>
      </c>
      <c r="G381" s="509">
        <f>($G$375*$G$376*$G$377+$G$378*$G$379*$G$380/1000000)/2000</f>
        <v>6.7942184939999995E-5</v>
      </c>
      <c r="H381" s="509">
        <f>($H$375*$H$376*$H$377+$H$378*$H$379*$H$380/1000000)/2000</f>
        <v>1.7252209232999998E-3</v>
      </c>
      <c r="I381" s="509">
        <f>($I$375*$I$376*$I$377+$I$378*$I$379*$I$380/1000000)/2000</f>
        <v>6.2439380167499993E-4</v>
      </c>
      <c r="J381" s="508"/>
    </row>
    <row r="382" spans="1:10" ht="21" customHeight="1">
      <c r="A382" s="507" t="s">
        <v>63</v>
      </c>
      <c r="B382" s="508" t="s">
        <v>654</v>
      </c>
      <c r="C382" s="508" t="s">
        <v>411</v>
      </c>
      <c r="D382" s="509">
        <f>$D$316</f>
        <v>897043.98</v>
      </c>
      <c r="E382" s="509">
        <f>$E$316</f>
        <v>7883312.2199999997</v>
      </c>
      <c r="F382" s="509">
        <f>$F$316</f>
        <v>2939540.1</v>
      </c>
      <c r="G382" s="509">
        <f>$G$316</f>
        <v>195657.84</v>
      </c>
      <c r="H382" s="509">
        <f>$H$316</f>
        <v>4968238.8</v>
      </c>
      <c r="I382" s="509">
        <f>$I$316</f>
        <v>1798110.3</v>
      </c>
      <c r="J382" s="508" t="s">
        <v>153</v>
      </c>
    </row>
    <row r="383" spans="1:10" ht="21" customHeight="1">
      <c r="A383" s="507" t="s">
        <v>63</v>
      </c>
      <c r="B383" s="508" t="s">
        <v>655</v>
      </c>
      <c r="C383" s="508" t="s">
        <v>411</v>
      </c>
      <c r="D383" s="509">
        <f>$D$312</f>
        <v>25.617688884503689</v>
      </c>
      <c r="E383" s="509">
        <f>$E$312</f>
        <v>24.807530298581618</v>
      </c>
      <c r="F383" s="509">
        <f>$F$312</f>
        <v>25.617688884503689</v>
      </c>
      <c r="G383" s="509">
        <f>$G$312</f>
        <v>25.617688884503689</v>
      </c>
      <c r="H383" s="509">
        <f>$H$312</f>
        <v>25.617688884503689</v>
      </c>
      <c r="I383" s="509">
        <f>$I$312</f>
        <v>25.617688884503689</v>
      </c>
      <c r="J383" s="508" t="s">
        <v>153</v>
      </c>
    </row>
    <row r="384" spans="1:10" ht="21" customHeight="1">
      <c r="A384" s="507" t="s">
        <v>63</v>
      </c>
      <c r="B384" s="508" t="s">
        <v>656</v>
      </c>
      <c r="C384" s="508" t="s">
        <v>411</v>
      </c>
      <c r="D384" s="509">
        <f>$D$317</f>
        <v>742542910</v>
      </c>
      <c r="E384" s="509">
        <f>$E$317</f>
        <v>731915920</v>
      </c>
      <c r="F384" s="509">
        <f>$F$317</f>
        <v>1696905270</v>
      </c>
      <c r="G384" s="509">
        <f>$G$317</f>
        <v>1204545823.6500001</v>
      </c>
      <c r="H384" s="509">
        <f>$H$317</f>
        <v>1145662860</v>
      </c>
      <c r="I384" s="509">
        <f>$I$317</f>
        <v>1965580205.8499999</v>
      </c>
      <c r="J384" s="508" t="s">
        <v>153</v>
      </c>
    </row>
    <row r="385" spans="1:10" ht="21" customHeight="1">
      <c r="A385" s="507" t="s">
        <v>63</v>
      </c>
      <c r="B385" s="508" t="s">
        <v>657</v>
      </c>
      <c r="C385" s="508" t="s">
        <v>411</v>
      </c>
      <c r="D385" s="509">
        <f>$D$315</f>
        <v>0.12049378268189943</v>
      </c>
      <c r="E385" s="509">
        <f>$E$315</f>
        <v>0.12049378268189943</v>
      </c>
      <c r="F385" s="509">
        <f>$F$315</f>
        <v>0.12049378268189943</v>
      </c>
      <c r="G385" s="509">
        <f>$G$315</f>
        <v>0.12049378268189943</v>
      </c>
      <c r="H385" s="509">
        <f>$H$315</f>
        <v>0.12049378268189943</v>
      </c>
      <c r="I385" s="509">
        <f>$I$315</f>
        <v>0.12049378268189943</v>
      </c>
      <c r="J385" s="508" t="s">
        <v>153</v>
      </c>
    </row>
    <row r="386" spans="1:10" ht="21" customHeight="1">
      <c r="A386" s="507" t="s">
        <v>63</v>
      </c>
      <c r="B386" s="508" t="s">
        <v>658</v>
      </c>
      <c r="C386" s="508" t="s">
        <v>397</v>
      </c>
      <c r="D386" s="509">
        <v>2000</v>
      </c>
      <c r="E386" s="509">
        <v>2000</v>
      </c>
      <c r="F386" s="509">
        <v>2000</v>
      </c>
      <c r="G386" s="509">
        <v>2000</v>
      </c>
      <c r="H386" s="509">
        <v>2000</v>
      </c>
      <c r="I386" s="509">
        <f>'CS6'!H75</f>
        <v>2000</v>
      </c>
      <c r="J386" s="508"/>
    </row>
    <row r="387" spans="1:10" ht="21" customHeight="1">
      <c r="A387" s="507" t="s">
        <v>63</v>
      </c>
      <c r="B387" s="508" t="s">
        <v>659</v>
      </c>
      <c r="C387" s="508" t="s">
        <v>411</v>
      </c>
      <c r="D387" s="509">
        <f>($D$382*$D$383+$D$384*$D$385)/$D$386</f>
        <v>56225.998812441081</v>
      </c>
      <c r="E387" s="509">
        <f>($E$382*$E$383+$E$384*$E$385)/$E$386</f>
        <v>141878.41227836561</v>
      </c>
      <c r="F387" s="509">
        <f>($F$382*$F$383+$F$384*$F$385)/$F$386</f>
        <v>139885.37929023639</v>
      </c>
      <c r="G387" s="509">
        <f>($G$382*$G$383+$G$384*$G$385)/$G$386</f>
        <v>75076.292189103333</v>
      </c>
      <c r="H387" s="509">
        <f>($H$382*$H$383+$H$384*$H$385)/$H$386</f>
        <v>132660.02378094167</v>
      </c>
      <c r="I387" s="509">
        <f>($I$382*$I$383+$I$384*$I$385)/$I$386</f>
        <v>141451.81220647731</v>
      </c>
      <c r="J387" s="508"/>
    </row>
    <row r="388" spans="1:10" ht="21" customHeight="1">
      <c r="A388" s="510" t="s">
        <v>660</v>
      </c>
      <c r="B388" s="506"/>
      <c r="C388" s="506"/>
      <c r="D388" s="511"/>
      <c r="E388" s="511"/>
      <c r="F388" s="511"/>
      <c r="G388" s="511"/>
      <c r="H388" s="511"/>
      <c r="I388" s="512"/>
      <c r="J388" s="506"/>
    </row>
    <row r="389" spans="1:10" ht="21" customHeight="1">
      <c r="A389" s="507" t="s">
        <v>660</v>
      </c>
      <c r="B389" s="508" t="s">
        <v>661</v>
      </c>
      <c r="C389" s="508" t="s">
        <v>411</v>
      </c>
      <c r="D389" s="509">
        <f>$D$178+$D$254+$D$346+$D$140</f>
        <v>7.8217207847499992</v>
      </c>
      <c r="E389" s="509">
        <f>$E$178+$E$254+$E$346+$E$140</f>
        <v>22.224863915</v>
      </c>
      <c r="F389" s="509">
        <f>$F$178+$F$254+$F$346+$F$140</f>
        <v>19.98405600561</v>
      </c>
      <c r="G389" s="509">
        <f>$G$178+$G$254+$G$346+$G$140</f>
        <v>8.3705581404</v>
      </c>
      <c r="H389" s="509">
        <f>$H$178+$H$254+$H$346+$H$140</f>
        <v>19.539109700250002</v>
      </c>
      <c r="I389" s="509">
        <f>$I$178+$I$254+$I$346+$I$140</f>
        <v>15.64151249871</v>
      </c>
      <c r="J389" s="508" t="s">
        <v>11</v>
      </c>
    </row>
    <row r="390" spans="1:10" ht="21" customHeight="1">
      <c r="A390" s="507" t="s">
        <v>660</v>
      </c>
      <c r="B390" s="508" t="s">
        <v>662</v>
      </c>
      <c r="C390" s="508" t="s">
        <v>411</v>
      </c>
      <c r="D390" s="509">
        <f>$D$261+$D$353</f>
        <v>12.365071413119999</v>
      </c>
      <c r="E390" s="509">
        <f>$E$261+$E$353</f>
        <v>32.642573894999998</v>
      </c>
      <c r="F390" s="509">
        <f>$F$261+$F$353</f>
        <v>30.5805128175882</v>
      </c>
      <c r="G390" s="509">
        <f>$G$261+$G$353</f>
        <v>13.469096743847999</v>
      </c>
      <c r="H390" s="509">
        <f>$H$261+$H$353</f>
        <v>29.721732148080001</v>
      </c>
      <c r="I390" s="509">
        <f>$I$261+$I$353</f>
        <v>24.558257703760198</v>
      </c>
      <c r="J390" s="508" t="s">
        <v>12</v>
      </c>
    </row>
    <row r="391" spans="1:10" ht="21" customHeight="1">
      <c r="A391" s="507" t="s">
        <v>660</v>
      </c>
      <c r="B391" s="508" t="s">
        <v>663</v>
      </c>
      <c r="C391" s="508" t="s">
        <v>411</v>
      </c>
      <c r="D391" s="509">
        <f>$D$268+$D$360</f>
        <v>11.177535214499999</v>
      </c>
      <c r="E391" s="509">
        <f>$E$268+$E$360</f>
        <v>27.241895522999997</v>
      </c>
      <c r="F391" s="509">
        <f>$F$268+$F$360</f>
        <v>26.723847135915001</v>
      </c>
      <c r="G391" s="509">
        <f>$G$268+$G$360</f>
        <v>12.390461076599999</v>
      </c>
      <c r="H391" s="509">
        <f>$H$268+$H$360</f>
        <v>25.806266545500002</v>
      </c>
      <c r="I391" s="509">
        <f>$I$268+$I$360</f>
        <v>22.046183365814997</v>
      </c>
      <c r="J391" s="508" t="s">
        <v>34</v>
      </c>
    </row>
    <row r="392" spans="1:10" ht="21" customHeight="1">
      <c r="A392" s="507" t="s">
        <v>660</v>
      </c>
      <c r="B392" s="508" t="s">
        <v>664</v>
      </c>
      <c r="C392" s="508" t="s">
        <v>411</v>
      </c>
      <c r="D392" s="509">
        <f>$D$183+$D$275+$D$367+$D$145</f>
        <v>37.873691702899997</v>
      </c>
      <c r="E392" s="509">
        <f>$E$183+$E$275+$E$367+$E$145</f>
        <v>364.98374619160001</v>
      </c>
      <c r="F392" s="509">
        <f>$F$183+$F$275+$F$367+$F$145</f>
        <v>205.36598341648801</v>
      </c>
      <c r="G392" s="509">
        <f>$G$183+$G$275+$G$367+$G$145</f>
        <v>16.32634890912</v>
      </c>
      <c r="H392" s="509">
        <f>$H$183+$H$275+$H$367+$H$145</f>
        <v>224.02043127449997</v>
      </c>
      <c r="I392" s="509">
        <f>$I$183+$I$275+$I$367+$I$145</f>
        <v>93.175721994767983</v>
      </c>
      <c r="J392" s="508" t="s">
        <v>35</v>
      </c>
    </row>
    <row r="393" spans="1:10" ht="21" customHeight="1">
      <c r="A393" s="507" t="s">
        <v>660</v>
      </c>
      <c r="B393" s="508" t="s">
        <v>665</v>
      </c>
      <c r="C393" s="508" t="s">
        <v>411</v>
      </c>
      <c r="D393" s="509">
        <f>$D$188+$D$233+$D$325+$D$150</f>
        <v>441.55713479500002</v>
      </c>
      <c r="E393" s="509">
        <f>$E$188+$E$233+$E$325+$E$150</f>
        <v>392.07313459999995</v>
      </c>
      <c r="F393" s="509">
        <f>$F$188+$F$233+$F$325+$F$150</f>
        <v>778.00233564270002</v>
      </c>
      <c r="G393" s="509">
        <f>$G$188+$G$233+$G$325+$G$150</f>
        <v>554.36726242799989</v>
      </c>
      <c r="H393" s="509">
        <f>$H$188+$H$233+$H$325+$H$150</f>
        <v>699.09805990500001</v>
      </c>
      <c r="I393" s="509">
        <f>$I$188+$I$233+$I$325+$I$150</f>
        <v>824.56230193469992</v>
      </c>
      <c r="J393" s="508" t="s">
        <v>14</v>
      </c>
    </row>
    <row r="394" spans="1:10" ht="21" customHeight="1">
      <c r="A394" s="507" t="s">
        <v>660</v>
      </c>
      <c r="B394" s="508" t="s">
        <v>565</v>
      </c>
      <c r="C394" s="508" t="s">
        <v>411</v>
      </c>
      <c r="D394" s="509">
        <f>$D$193+$D$247+$D$339+$D$155</f>
        <v>1.04291260021</v>
      </c>
      <c r="E394" s="509">
        <f>$E$193+$E$247+$E$339+$E$155</f>
        <v>1.2655853678</v>
      </c>
      <c r="F394" s="509">
        <f>$F$193+$F$247+$F$339+$F$155</f>
        <v>1.9753963178976002</v>
      </c>
      <c r="G394" s="509">
        <f>$G$193+$G$247+$G$339+$G$155</f>
        <v>1.2771479672640003</v>
      </c>
      <c r="H394" s="509">
        <f>$H$193+$H$247+$H$339+$H$155</f>
        <v>1.8102049683899999</v>
      </c>
      <c r="I394" s="509">
        <f>$I$193+$I$247+$I$339+$I$155</f>
        <v>1.9705371894935999</v>
      </c>
      <c r="J394" s="508" t="s">
        <v>16</v>
      </c>
    </row>
    <row r="395" spans="1:10" ht="21" customHeight="1">
      <c r="A395" s="507" t="s">
        <v>660</v>
      </c>
      <c r="B395" s="508" t="s">
        <v>666</v>
      </c>
      <c r="C395" s="508" t="s">
        <v>411</v>
      </c>
      <c r="D395" s="509">
        <f>$D$198+$D$240+$D$332+$D$160</f>
        <v>11.004479171099998</v>
      </c>
      <c r="E395" s="509">
        <f>$E$198+$E$240+$E$332+$E$160</f>
        <v>6.2399312927999997</v>
      </c>
      <c r="F395" s="509">
        <f>$F$198+$F$240+$F$332+$F$160</f>
        <v>17.955879589097997</v>
      </c>
      <c r="G395" s="509">
        <f>$G$198+$G$240+$G$332+$G$160</f>
        <v>14.150921098319998</v>
      </c>
      <c r="H395" s="509">
        <f>$H$198+$H$240+$H$332+$H$160</f>
        <v>15.769235178900001</v>
      </c>
      <c r="I395" s="509">
        <f>$I$198+$I$240+$I$332+$I$160</f>
        <v>20.310467713577996</v>
      </c>
      <c r="J395" s="508" t="s">
        <v>667</v>
      </c>
    </row>
    <row r="396" spans="1:10" ht="21" customHeight="1">
      <c r="A396" s="507" t="s">
        <v>660</v>
      </c>
      <c r="B396" s="508" t="s">
        <v>668</v>
      </c>
      <c r="C396" s="508" t="s">
        <v>411</v>
      </c>
      <c r="D396" s="509">
        <f>$D$282+$D$374</f>
        <v>2.0333715746509995</v>
      </c>
      <c r="E396" s="509">
        <f>$E$282+$E$374</f>
        <v>16.854304608039996</v>
      </c>
      <c r="F396" s="509">
        <f>$F$282+$F$374</f>
        <v>9.6915367857324597</v>
      </c>
      <c r="G396" s="509">
        <f>$G$282+$G$374</f>
        <v>1.1252900982743999</v>
      </c>
      <c r="H396" s="509">
        <f>$H$282+$H$374</f>
        <v>10.266545209808999</v>
      </c>
      <c r="I396" s="509">
        <f>$I$282+$I$374</f>
        <v>4.8167248453140594</v>
      </c>
      <c r="J396" s="508" t="s">
        <v>36</v>
      </c>
    </row>
    <row r="397" spans="1:10" ht="21" customHeight="1">
      <c r="A397" s="507" t="s">
        <v>660</v>
      </c>
      <c r="B397" s="508" t="s">
        <v>669</v>
      </c>
      <c r="C397" s="508" t="s">
        <v>411</v>
      </c>
      <c r="D397" s="509">
        <f>$D$203+$D$289+$D$381+$D$165</f>
        <v>3.1149852205499993E-4</v>
      </c>
      <c r="E397" s="509">
        <f>$E$203+$E$289+$E$381+$E$165</f>
        <v>3.4208125597799993E-3</v>
      </c>
      <c r="F397" s="509">
        <f>$F$203+$F$289+$F$381+$F$165</f>
        <v>1.8251947539E-3</v>
      </c>
      <c r="G397" s="509">
        <f>$G$203+$G$289+$G$381+$G$165</f>
        <v>9.2811090959999992E-5</v>
      </c>
      <c r="H397" s="509">
        <f>$H$203+$H$289+$H$381+$H$165</f>
        <v>1.9655882136449996E-3</v>
      </c>
      <c r="I397" s="509">
        <f>$I$203+$I$289+$I$381+$I$165</f>
        <v>7.947242811899999E-4</v>
      </c>
      <c r="J397" s="508" t="s">
        <v>17</v>
      </c>
    </row>
    <row r="398" spans="1:10" ht="21" customHeight="1">
      <c r="A398" s="507" t="s">
        <v>660</v>
      </c>
      <c r="B398" s="508" t="s">
        <v>670</v>
      </c>
      <c r="C398" s="508" t="s">
        <v>411</v>
      </c>
      <c r="D398" s="509">
        <f>$D$170+$D$295+$D$387</f>
        <v>149862.55175399021</v>
      </c>
      <c r="E398" s="509">
        <f>$E$170+$E$295+$E$387</f>
        <v>166376.97412001941</v>
      </c>
      <c r="F398" s="509">
        <f>$F$170+$F$295+$F$387</f>
        <v>279191.76903727918</v>
      </c>
      <c r="G398" s="509">
        <f>$G$170+$G$295+$G$387</f>
        <v>184611.47063273174</v>
      </c>
      <c r="H398" s="509">
        <f>$H$170+$H$295+$H$387</f>
        <v>254737.80551084192</v>
      </c>
      <c r="I398" s="509">
        <f>$I$170+$I$295+$I$387</f>
        <v>282380.01012588246</v>
      </c>
      <c r="J398" s="508" t="s">
        <v>671</v>
      </c>
    </row>
    <row r="399" spans="1:10" ht="21" customHeight="1">
      <c r="A399" s="510" t="s">
        <v>10</v>
      </c>
      <c r="B399" s="506"/>
      <c r="C399" s="506"/>
      <c r="D399" s="511"/>
      <c r="E399" s="511"/>
      <c r="F399" s="511"/>
      <c r="G399" s="511"/>
      <c r="H399" s="511"/>
      <c r="I399" s="512"/>
      <c r="J399" s="506"/>
    </row>
    <row r="400" spans="1:10" ht="21" customHeight="1">
      <c r="A400" s="507" t="s">
        <v>10</v>
      </c>
      <c r="B400" s="508" t="s">
        <v>403</v>
      </c>
      <c r="C400" s="508" t="s">
        <v>397</v>
      </c>
      <c r="D400" s="509">
        <v>0</v>
      </c>
      <c r="E400" s="509"/>
      <c r="F400" s="509"/>
      <c r="G400" s="509"/>
      <c r="H400" s="509"/>
      <c r="I400" s="509"/>
      <c r="J400" s="508" t="s">
        <v>401</v>
      </c>
    </row>
    <row r="401" spans="1:10" ht="21" customHeight="1">
      <c r="A401" s="507" t="s">
        <v>10</v>
      </c>
      <c r="B401" s="508" t="s">
        <v>404</v>
      </c>
      <c r="C401" s="508" t="s">
        <v>397</v>
      </c>
      <c r="D401" s="509">
        <v>0</v>
      </c>
      <c r="E401" s="509"/>
      <c r="F401" s="509"/>
      <c r="G401" s="509"/>
      <c r="H401" s="509"/>
      <c r="I401" s="509"/>
      <c r="J401" s="508" t="s">
        <v>401</v>
      </c>
    </row>
    <row r="402" spans="1:10" ht="21" customHeight="1">
      <c r="A402" s="507" t="s">
        <v>10</v>
      </c>
      <c r="B402" s="508" t="s">
        <v>405</v>
      </c>
      <c r="C402" s="508" t="s">
        <v>397</v>
      </c>
      <c r="D402" s="509">
        <v>1269731</v>
      </c>
      <c r="E402" s="509"/>
      <c r="F402" s="509"/>
      <c r="G402" s="509"/>
      <c r="H402" s="509"/>
      <c r="I402" s="509"/>
      <c r="J402" s="508" t="s">
        <v>401</v>
      </c>
    </row>
    <row r="403" spans="1:10" ht="21" customHeight="1">
      <c r="A403" s="507" t="s">
        <v>10</v>
      </c>
      <c r="B403" s="508" t="s">
        <v>406</v>
      </c>
      <c r="C403" s="508" t="s">
        <v>397</v>
      </c>
      <c r="D403" s="509">
        <v>0</v>
      </c>
      <c r="E403" s="509"/>
      <c r="F403" s="509"/>
      <c r="G403" s="509"/>
      <c r="H403" s="509"/>
      <c r="I403" s="509"/>
      <c r="J403" s="508" t="s">
        <v>401</v>
      </c>
    </row>
    <row r="404" spans="1:10" ht="21" customHeight="1">
      <c r="A404" s="507" t="s">
        <v>10</v>
      </c>
      <c r="B404" s="508" t="s">
        <v>672</v>
      </c>
      <c r="C404" s="508" t="s">
        <v>397</v>
      </c>
      <c r="D404" s="509">
        <v>0.47</v>
      </c>
      <c r="E404" s="509"/>
      <c r="F404" s="509"/>
      <c r="G404" s="509"/>
      <c r="H404" s="509"/>
      <c r="I404" s="509"/>
      <c r="J404" s="508" t="s">
        <v>401</v>
      </c>
    </row>
    <row r="405" spans="1:10" ht="21" customHeight="1">
      <c r="A405" s="507" t="s">
        <v>10</v>
      </c>
      <c r="B405" s="508" t="s">
        <v>673</v>
      </c>
      <c r="C405" s="508" t="s">
        <v>674</v>
      </c>
      <c r="D405" s="509"/>
      <c r="E405" s="509"/>
      <c r="F405" s="509"/>
      <c r="G405" s="509"/>
      <c r="H405" s="509"/>
      <c r="I405" s="509"/>
      <c r="J405" s="508" t="s">
        <v>401</v>
      </c>
    </row>
    <row r="406" spans="1:10" ht="21" customHeight="1">
      <c r="A406" s="507" t="s">
        <v>10</v>
      </c>
      <c r="B406" s="508" t="s">
        <v>675</v>
      </c>
      <c r="C406" s="508" t="s">
        <v>397</v>
      </c>
      <c r="D406" s="509">
        <v>0.47</v>
      </c>
      <c r="E406" s="509"/>
      <c r="F406" s="509"/>
      <c r="G406" s="509"/>
      <c r="H406" s="509"/>
      <c r="I406" s="509"/>
      <c r="J406" s="508" t="s">
        <v>401</v>
      </c>
    </row>
    <row r="407" spans="1:10" ht="21" customHeight="1">
      <c r="A407" s="507" t="s">
        <v>10</v>
      </c>
      <c r="B407" s="508" t="s">
        <v>676</v>
      </c>
      <c r="C407" s="508" t="s">
        <v>674</v>
      </c>
      <c r="D407" s="509"/>
      <c r="E407" s="509"/>
      <c r="F407" s="509"/>
      <c r="G407" s="509"/>
      <c r="H407" s="509"/>
      <c r="I407" s="509"/>
      <c r="J407" s="508" t="s">
        <v>401</v>
      </c>
    </row>
    <row r="408" spans="1:10" ht="21" customHeight="1">
      <c r="A408" s="507" t="s">
        <v>10</v>
      </c>
      <c r="B408" s="508" t="s">
        <v>407</v>
      </c>
      <c r="C408" s="508" t="s">
        <v>397</v>
      </c>
      <c r="D408" s="509"/>
      <c r="E408" s="509">
        <v>0</v>
      </c>
      <c r="F408" s="509"/>
      <c r="G408" s="509"/>
      <c r="H408" s="509"/>
      <c r="I408" s="509"/>
      <c r="J408" s="508" t="s">
        <v>412</v>
      </c>
    </row>
    <row r="409" spans="1:10" ht="21" customHeight="1">
      <c r="A409" s="507" t="s">
        <v>10</v>
      </c>
      <c r="B409" s="508" t="s">
        <v>409</v>
      </c>
      <c r="C409" s="508" t="s">
        <v>397</v>
      </c>
      <c r="D409" s="509"/>
      <c r="E409" s="509">
        <v>0</v>
      </c>
      <c r="F409" s="509"/>
      <c r="G409" s="509"/>
      <c r="H409" s="509"/>
      <c r="I409" s="509"/>
      <c r="J409" s="508" t="s">
        <v>412</v>
      </c>
    </row>
    <row r="410" spans="1:10" ht="21" customHeight="1">
      <c r="A410" s="507" t="s">
        <v>10</v>
      </c>
      <c r="B410" s="508" t="s">
        <v>410</v>
      </c>
      <c r="C410" s="508" t="s">
        <v>397</v>
      </c>
      <c r="D410" s="509"/>
      <c r="E410" s="509">
        <v>54610.51</v>
      </c>
      <c r="F410" s="509"/>
      <c r="G410" s="509"/>
      <c r="H410" s="509"/>
      <c r="I410" s="509"/>
      <c r="J410" s="508" t="s">
        <v>412</v>
      </c>
    </row>
    <row r="411" spans="1:10" ht="21" customHeight="1">
      <c r="A411" s="507" t="s">
        <v>10</v>
      </c>
      <c r="B411" s="508" t="s">
        <v>414</v>
      </c>
      <c r="C411" s="508" t="s">
        <v>411</v>
      </c>
      <c r="D411" s="509"/>
      <c r="E411" s="509">
        <f>$E$408*42</f>
        <v>0</v>
      </c>
      <c r="F411" s="509"/>
      <c r="G411" s="509"/>
      <c r="H411" s="509"/>
      <c r="I411" s="509"/>
      <c r="J411" s="508" t="s">
        <v>412</v>
      </c>
    </row>
    <row r="412" spans="1:10" ht="21" customHeight="1">
      <c r="A412" s="507" t="s">
        <v>10</v>
      </c>
      <c r="B412" s="508" t="s">
        <v>415</v>
      </c>
      <c r="C412" s="508" t="s">
        <v>411</v>
      </c>
      <c r="D412" s="509"/>
      <c r="E412" s="509">
        <f>$E$409*42</f>
        <v>0</v>
      </c>
      <c r="F412" s="509"/>
      <c r="G412" s="509"/>
      <c r="H412" s="509"/>
      <c r="I412" s="509"/>
      <c r="J412" s="508" t="s">
        <v>412</v>
      </c>
    </row>
    <row r="413" spans="1:10" ht="21" customHeight="1">
      <c r="A413" s="507" t="s">
        <v>10</v>
      </c>
      <c r="B413" s="508" t="s">
        <v>416</v>
      </c>
      <c r="C413" s="508" t="s">
        <v>411</v>
      </c>
      <c r="D413" s="509"/>
      <c r="E413" s="509">
        <f>$E$410*42</f>
        <v>2293641.42</v>
      </c>
      <c r="F413" s="509"/>
      <c r="G413" s="509"/>
      <c r="H413" s="509"/>
      <c r="I413" s="509"/>
      <c r="J413" s="508" t="s">
        <v>412</v>
      </c>
    </row>
    <row r="414" spans="1:10" ht="21" customHeight="1">
      <c r="A414" s="507" t="s">
        <v>10</v>
      </c>
      <c r="B414" s="508" t="s">
        <v>417</v>
      </c>
      <c r="C414" s="508" t="s">
        <v>397</v>
      </c>
      <c r="D414" s="509"/>
      <c r="E414" s="509">
        <v>0</v>
      </c>
      <c r="F414" s="509"/>
      <c r="G414" s="509"/>
      <c r="H414" s="509"/>
      <c r="I414" s="509"/>
      <c r="J414" s="508" t="s">
        <v>412</v>
      </c>
    </row>
    <row r="415" spans="1:10" ht="21" customHeight="1">
      <c r="A415" s="507" t="s">
        <v>10</v>
      </c>
      <c r="B415" s="508" t="s">
        <v>677</v>
      </c>
      <c r="C415" s="508" t="s">
        <v>397</v>
      </c>
      <c r="D415" s="509"/>
      <c r="E415" s="509">
        <v>0.47</v>
      </c>
      <c r="F415" s="509"/>
      <c r="G415" s="509"/>
      <c r="H415" s="509"/>
      <c r="I415" s="509"/>
      <c r="J415" s="508" t="s">
        <v>412</v>
      </c>
    </row>
    <row r="416" spans="1:10" ht="21" customHeight="1">
      <c r="A416" s="507" t="s">
        <v>10</v>
      </c>
      <c r="B416" s="508" t="s">
        <v>678</v>
      </c>
      <c r="C416" s="508" t="s">
        <v>397</v>
      </c>
      <c r="D416" s="509"/>
      <c r="E416" s="509" t="s">
        <v>135</v>
      </c>
      <c r="F416" s="509"/>
      <c r="G416" s="509"/>
      <c r="H416" s="509"/>
      <c r="I416" s="509"/>
      <c r="J416" s="508" t="s">
        <v>412</v>
      </c>
    </row>
    <row r="417" spans="1:10" ht="21" customHeight="1">
      <c r="A417" s="507" t="s">
        <v>10</v>
      </c>
      <c r="B417" s="508" t="s">
        <v>418</v>
      </c>
      <c r="C417" s="508" t="s">
        <v>397</v>
      </c>
      <c r="D417" s="509"/>
      <c r="E417" s="509">
        <v>0.47</v>
      </c>
      <c r="F417" s="509"/>
      <c r="G417" s="509"/>
      <c r="H417" s="509"/>
      <c r="I417" s="509"/>
      <c r="J417" s="508" t="s">
        <v>412</v>
      </c>
    </row>
    <row r="418" spans="1:10" ht="21" customHeight="1">
      <c r="A418" s="507" t="s">
        <v>10</v>
      </c>
      <c r="B418" s="508" t="s">
        <v>419</v>
      </c>
      <c r="C418" s="508" t="s">
        <v>674</v>
      </c>
      <c r="D418" s="509"/>
      <c r="E418" s="509"/>
      <c r="F418" s="509"/>
      <c r="G418" s="509"/>
      <c r="H418" s="509"/>
      <c r="I418" s="509"/>
      <c r="J418" s="508" t="s">
        <v>412</v>
      </c>
    </row>
    <row r="419" spans="1:10" ht="21" customHeight="1">
      <c r="A419" s="507" t="s">
        <v>10</v>
      </c>
      <c r="B419" s="508" t="s">
        <v>420</v>
      </c>
      <c r="C419" s="508" t="s">
        <v>397</v>
      </c>
      <c r="D419" s="509"/>
      <c r="E419" s="509"/>
      <c r="F419" s="509">
        <v>0</v>
      </c>
      <c r="G419" s="509"/>
      <c r="H419" s="509"/>
      <c r="I419" s="509"/>
      <c r="J419" s="508" t="s">
        <v>679</v>
      </c>
    </row>
    <row r="420" spans="1:10" ht="21" customHeight="1">
      <c r="A420" s="507" t="s">
        <v>10</v>
      </c>
      <c r="B420" s="508" t="s">
        <v>422</v>
      </c>
      <c r="C420" s="508" t="s">
        <v>397</v>
      </c>
      <c r="D420" s="509"/>
      <c r="E420" s="509"/>
      <c r="F420" s="509">
        <v>0</v>
      </c>
      <c r="G420" s="509"/>
      <c r="H420" s="509"/>
      <c r="I420" s="509"/>
      <c r="J420" s="508" t="s">
        <v>679</v>
      </c>
    </row>
    <row r="421" spans="1:10" ht="21" customHeight="1">
      <c r="A421" s="507" t="s">
        <v>10</v>
      </c>
      <c r="B421" s="508" t="s">
        <v>423</v>
      </c>
      <c r="C421" s="508" t="s">
        <v>397</v>
      </c>
      <c r="D421" s="509"/>
      <c r="E421" s="509"/>
      <c r="F421" s="509">
        <v>42293.08</v>
      </c>
      <c r="G421" s="509"/>
      <c r="H421" s="509"/>
      <c r="I421" s="509"/>
      <c r="J421" s="508" t="s">
        <v>679</v>
      </c>
    </row>
    <row r="422" spans="1:10" ht="21" customHeight="1">
      <c r="A422" s="507" t="s">
        <v>10</v>
      </c>
      <c r="B422" s="508" t="s">
        <v>424</v>
      </c>
      <c r="C422" s="508" t="s">
        <v>397</v>
      </c>
      <c r="D422" s="509"/>
      <c r="E422" s="509"/>
      <c r="F422" s="509">
        <v>0</v>
      </c>
      <c r="G422" s="509"/>
      <c r="H422" s="509"/>
      <c r="I422" s="509"/>
      <c r="J422" s="508" t="s">
        <v>679</v>
      </c>
    </row>
    <row r="423" spans="1:10" ht="21" customHeight="1">
      <c r="A423" s="507" t="s">
        <v>10</v>
      </c>
      <c r="B423" s="508" t="s">
        <v>425</v>
      </c>
      <c r="C423" s="508" t="s">
        <v>411</v>
      </c>
      <c r="D423" s="509"/>
      <c r="E423" s="509"/>
      <c r="F423" s="509">
        <f>$F$419*42</f>
        <v>0</v>
      </c>
      <c r="G423" s="509"/>
      <c r="H423" s="509"/>
      <c r="I423" s="509"/>
      <c r="J423" s="508" t="s">
        <v>679</v>
      </c>
    </row>
    <row r="424" spans="1:10" ht="21" customHeight="1">
      <c r="A424" s="507" t="s">
        <v>10</v>
      </c>
      <c r="B424" s="508" t="s">
        <v>426</v>
      </c>
      <c r="C424" s="508" t="s">
        <v>411</v>
      </c>
      <c r="D424" s="509"/>
      <c r="E424" s="509"/>
      <c r="F424" s="509">
        <f>$F$420*42</f>
        <v>0</v>
      </c>
      <c r="G424" s="509"/>
      <c r="H424" s="509"/>
      <c r="I424" s="509"/>
      <c r="J424" s="508" t="s">
        <v>679</v>
      </c>
    </row>
    <row r="425" spans="1:10" ht="21" customHeight="1">
      <c r="A425" s="507" t="s">
        <v>10</v>
      </c>
      <c r="B425" s="508" t="s">
        <v>427</v>
      </c>
      <c r="C425" s="508" t="s">
        <v>411</v>
      </c>
      <c r="D425" s="509"/>
      <c r="E425" s="509"/>
      <c r="F425" s="509">
        <f>$F$421*42</f>
        <v>1776309.36</v>
      </c>
      <c r="G425" s="509"/>
      <c r="H425" s="509"/>
      <c r="I425" s="509"/>
      <c r="J425" s="508" t="s">
        <v>679</v>
      </c>
    </row>
    <row r="426" spans="1:10" ht="21" customHeight="1">
      <c r="A426" s="507" t="s">
        <v>10</v>
      </c>
      <c r="B426" s="508" t="s">
        <v>428</v>
      </c>
      <c r="C426" s="508" t="s">
        <v>411</v>
      </c>
      <c r="D426" s="509"/>
      <c r="E426" s="509"/>
      <c r="F426" s="509">
        <f>$F$422*42</f>
        <v>0</v>
      </c>
      <c r="G426" s="509"/>
      <c r="H426" s="509"/>
      <c r="I426" s="509"/>
      <c r="J426" s="508" t="s">
        <v>679</v>
      </c>
    </row>
    <row r="427" spans="1:10" ht="21" customHeight="1">
      <c r="A427" s="507" t="s">
        <v>10</v>
      </c>
      <c r="B427" s="508" t="s">
        <v>680</v>
      </c>
      <c r="C427" s="508" t="s">
        <v>397</v>
      </c>
      <c r="D427" s="509"/>
      <c r="E427" s="509"/>
      <c r="F427" s="509">
        <v>0.42</v>
      </c>
      <c r="G427" s="509"/>
      <c r="H427" s="509"/>
      <c r="I427" s="509"/>
      <c r="J427" s="508" t="s">
        <v>679</v>
      </c>
    </row>
    <row r="428" spans="1:10" ht="21" customHeight="1">
      <c r="A428" s="507" t="s">
        <v>10</v>
      </c>
      <c r="B428" s="508" t="s">
        <v>681</v>
      </c>
      <c r="C428" s="508" t="s">
        <v>397</v>
      </c>
      <c r="D428" s="509"/>
      <c r="E428" s="509"/>
      <c r="F428" s="509" t="s">
        <v>135</v>
      </c>
      <c r="G428" s="509"/>
      <c r="H428" s="509"/>
      <c r="I428" s="509"/>
      <c r="J428" s="508" t="s">
        <v>679</v>
      </c>
    </row>
    <row r="429" spans="1:10" ht="21" customHeight="1">
      <c r="A429" s="507" t="s">
        <v>10</v>
      </c>
      <c r="B429" s="508" t="s">
        <v>429</v>
      </c>
      <c r="C429" s="508" t="s">
        <v>397</v>
      </c>
      <c r="D429" s="509"/>
      <c r="E429" s="509"/>
      <c r="F429" s="509">
        <v>0.42</v>
      </c>
      <c r="G429" s="509"/>
      <c r="H429" s="509"/>
      <c r="I429" s="509"/>
      <c r="J429" s="508" t="s">
        <v>679</v>
      </c>
    </row>
    <row r="430" spans="1:10" ht="21" customHeight="1">
      <c r="A430" s="507" t="s">
        <v>10</v>
      </c>
      <c r="B430" s="508" t="s">
        <v>430</v>
      </c>
      <c r="C430" s="508" t="s">
        <v>397</v>
      </c>
      <c r="D430" s="509"/>
      <c r="E430" s="509"/>
      <c r="F430" s="509" t="s">
        <v>135</v>
      </c>
      <c r="G430" s="509"/>
      <c r="H430" s="509"/>
      <c r="I430" s="509"/>
      <c r="J430" s="508" t="s">
        <v>679</v>
      </c>
    </row>
    <row r="431" spans="1:10" ht="21" customHeight="1">
      <c r="A431" s="507" t="s">
        <v>10</v>
      </c>
      <c r="B431" s="508" t="s">
        <v>436</v>
      </c>
      <c r="C431" s="508" t="s">
        <v>397</v>
      </c>
      <c r="D431" s="509"/>
      <c r="E431" s="509"/>
      <c r="F431" s="509"/>
      <c r="G431" s="509">
        <v>0</v>
      </c>
      <c r="H431" s="509"/>
      <c r="I431" s="509"/>
      <c r="J431" s="508" t="s">
        <v>432</v>
      </c>
    </row>
    <row r="432" spans="1:10" ht="21" customHeight="1">
      <c r="A432" s="507" t="s">
        <v>10</v>
      </c>
      <c r="B432" s="508" t="s">
        <v>437</v>
      </c>
      <c r="C432" s="508" t="s">
        <v>397</v>
      </c>
      <c r="D432" s="509"/>
      <c r="E432" s="509"/>
      <c r="F432" s="509"/>
      <c r="G432" s="509">
        <v>0</v>
      </c>
      <c r="H432" s="509"/>
      <c r="I432" s="509"/>
      <c r="J432" s="508" t="s">
        <v>432</v>
      </c>
    </row>
    <row r="433" spans="1:10" ht="21" customHeight="1">
      <c r="A433" s="507" t="s">
        <v>10</v>
      </c>
      <c r="B433" s="508" t="s">
        <v>438</v>
      </c>
      <c r="C433" s="508" t="s">
        <v>397</v>
      </c>
      <c r="D433" s="509"/>
      <c r="E433" s="509"/>
      <c r="F433" s="509"/>
      <c r="G433" s="509">
        <v>3445860.18</v>
      </c>
      <c r="H433" s="509"/>
      <c r="I433" s="509"/>
      <c r="J433" s="508" t="s">
        <v>432</v>
      </c>
    </row>
    <row r="434" spans="1:10" ht="21" customHeight="1">
      <c r="A434" s="507" t="s">
        <v>10</v>
      </c>
      <c r="B434" s="508" t="s">
        <v>439</v>
      </c>
      <c r="C434" s="508" t="s">
        <v>397</v>
      </c>
      <c r="D434" s="509"/>
      <c r="E434" s="509"/>
      <c r="F434" s="509"/>
      <c r="G434" s="509">
        <v>0</v>
      </c>
      <c r="H434" s="509"/>
      <c r="I434" s="509"/>
      <c r="J434" s="508" t="s">
        <v>432</v>
      </c>
    </row>
    <row r="435" spans="1:10" ht="21" customHeight="1">
      <c r="A435" s="507" t="s">
        <v>10</v>
      </c>
      <c r="B435" s="508" t="s">
        <v>682</v>
      </c>
      <c r="C435" s="508" t="s">
        <v>397</v>
      </c>
      <c r="D435" s="509"/>
      <c r="E435" s="509"/>
      <c r="F435" s="509"/>
      <c r="G435" s="509">
        <v>0.46</v>
      </c>
      <c r="H435" s="509"/>
      <c r="I435" s="509"/>
      <c r="J435" s="508" t="s">
        <v>432</v>
      </c>
    </row>
    <row r="436" spans="1:10" ht="21" customHeight="1">
      <c r="A436" s="507" t="s">
        <v>10</v>
      </c>
      <c r="B436" s="508" t="s">
        <v>683</v>
      </c>
      <c r="C436" s="508" t="s">
        <v>674</v>
      </c>
      <c r="D436" s="509"/>
      <c r="E436" s="509"/>
      <c r="F436" s="509"/>
      <c r="G436" s="509"/>
      <c r="H436" s="509"/>
      <c r="I436" s="509"/>
      <c r="J436" s="508" t="s">
        <v>432</v>
      </c>
    </row>
    <row r="437" spans="1:10" ht="21" customHeight="1">
      <c r="A437" s="507" t="s">
        <v>10</v>
      </c>
      <c r="B437" s="508" t="s">
        <v>684</v>
      </c>
      <c r="C437" s="508" t="s">
        <v>397</v>
      </c>
      <c r="D437" s="509"/>
      <c r="E437" s="509"/>
      <c r="F437" s="509"/>
      <c r="G437" s="509">
        <v>0.46</v>
      </c>
      <c r="H437" s="509"/>
      <c r="I437" s="509"/>
      <c r="J437" s="508" t="s">
        <v>432</v>
      </c>
    </row>
    <row r="438" spans="1:10" ht="21" customHeight="1">
      <c r="A438" s="507" t="s">
        <v>10</v>
      </c>
      <c r="B438" s="508" t="s">
        <v>685</v>
      </c>
      <c r="C438" s="508" t="s">
        <v>674</v>
      </c>
      <c r="D438" s="509"/>
      <c r="E438" s="509"/>
      <c r="F438" s="509"/>
      <c r="G438" s="509"/>
      <c r="H438" s="509"/>
      <c r="I438" s="509"/>
      <c r="J438" s="508" t="s">
        <v>432</v>
      </c>
    </row>
    <row r="439" spans="1:10" ht="21" customHeight="1">
      <c r="A439" s="507" t="s">
        <v>10</v>
      </c>
      <c r="B439" s="508" t="s">
        <v>440</v>
      </c>
      <c r="C439" s="508" t="s">
        <v>397</v>
      </c>
      <c r="D439" s="509"/>
      <c r="E439" s="509"/>
      <c r="F439" s="509"/>
      <c r="G439" s="509"/>
      <c r="H439" s="509">
        <v>0</v>
      </c>
      <c r="I439" s="509"/>
      <c r="J439" s="508" t="s">
        <v>444</v>
      </c>
    </row>
    <row r="440" spans="1:10" ht="21" customHeight="1">
      <c r="A440" s="507" t="s">
        <v>10</v>
      </c>
      <c r="B440" s="508" t="s">
        <v>442</v>
      </c>
      <c r="C440" s="508" t="s">
        <v>397</v>
      </c>
      <c r="D440" s="509"/>
      <c r="E440" s="509"/>
      <c r="F440" s="509"/>
      <c r="G440" s="509"/>
      <c r="H440" s="509">
        <v>0</v>
      </c>
      <c r="I440" s="509"/>
      <c r="J440" s="508" t="s">
        <v>444</v>
      </c>
    </row>
    <row r="441" spans="1:10" ht="21" customHeight="1">
      <c r="A441" s="507" t="s">
        <v>10</v>
      </c>
      <c r="B441" s="508" t="s">
        <v>443</v>
      </c>
      <c r="C441" s="508" t="s">
        <v>397</v>
      </c>
      <c r="D441" s="509"/>
      <c r="E441" s="509"/>
      <c r="F441" s="509"/>
      <c r="G441" s="509"/>
      <c r="H441" s="509">
        <v>68047.75</v>
      </c>
      <c r="I441" s="509"/>
      <c r="J441" s="508" t="s">
        <v>444</v>
      </c>
    </row>
    <row r="442" spans="1:10" ht="21" customHeight="1">
      <c r="A442" s="507" t="s">
        <v>10</v>
      </c>
      <c r="B442" s="508" t="s">
        <v>445</v>
      </c>
      <c r="C442" s="508" t="s">
        <v>397</v>
      </c>
      <c r="D442" s="509"/>
      <c r="E442" s="509"/>
      <c r="F442" s="509"/>
      <c r="G442" s="509"/>
      <c r="H442" s="509">
        <v>0</v>
      </c>
      <c r="I442" s="509"/>
      <c r="J442" s="508" t="s">
        <v>444</v>
      </c>
    </row>
    <row r="443" spans="1:10" ht="21" customHeight="1">
      <c r="A443" s="507" t="s">
        <v>10</v>
      </c>
      <c r="B443" s="508" t="s">
        <v>446</v>
      </c>
      <c r="C443" s="508" t="s">
        <v>411</v>
      </c>
      <c r="D443" s="509"/>
      <c r="E443" s="509"/>
      <c r="F443" s="509"/>
      <c r="G443" s="509"/>
      <c r="H443" s="509">
        <f>$H$439*42</f>
        <v>0</v>
      </c>
      <c r="I443" s="509"/>
      <c r="J443" s="508" t="s">
        <v>444</v>
      </c>
    </row>
    <row r="444" spans="1:10" ht="21" customHeight="1">
      <c r="A444" s="507" t="s">
        <v>10</v>
      </c>
      <c r="B444" s="508" t="s">
        <v>447</v>
      </c>
      <c r="C444" s="508" t="s">
        <v>411</v>
      </c>
      <c r="D444" s="509"/>
      <c r="E444" s="509"/>
      <c r="F444" s="509"/>
      <c r="G444" s="509"/>
      <c r="H444" s="509">
        <f>$H$440*42</f>
        <v>0</v>
      </c>
      <c r="I444" s="509"/>
      <c r="J444" s="508" t="s">
        <v>444</v>
      </c>
    </row>
    <row r="445" spans="1:10" ht="21" customHeight="1">
      <c r="A445" s="507" t="s">
        <v>10</v>
      </c>
      <c r="B445" s="508" t="s">
        <v>448</v>
      </c>
      <c r="C445" s="508" t="s">
        <v>411</v>
      </c>
      <c r="D445" s="509"/>
      <c r="E445" s="509"/>
      <c r="F445" s="509"/>
      <c r="G445" s="509"/>
      <c r="H445" s="509">
        <f>$H$441*42</f>
        <v>2858005.5</v>
      </c>
      <c r="I445" s="509"/>
      <c r="J445" s="508" t="s">
        <v>444</v>
      </c>
    </row>
    <row r="446" spans="1:10" ht="21" customHeight="1">
      <c r="A446" s="507" t="s">
        <v>10</v>
      </c>
      <c r="B446" s="508" t="s">
        <v>449</v>
      </c>
      <c r="C446" s="508" t="s">
        <v>411</v>
      </c>
      <c r="D446" s="509"/>
      <c r="E446" s="509"/>
      <c r="F446" s="509"/>
      <c r="G446" s="509"/>
      <c r="H446" s="509">
        <f>$H$442*42</f>
        <v>0</v>
      </c>
      <c r="I446" s="509"/>
      <c r="J446" s="508" t="s">
        <v>444</v>
      </c>
    </row>
    <row r="447" spans="1:10" ht="21" customHeight="1">
      <c r="A447" s="507" t="s">
        <v>10</v>
      </c>
      <c r="B447" s="508" t="s">
        <v>686</v>
      </c>
      <c r="C447" s="508" t="s">
        <v>397</v>
      </c>
      <c r="D447" s="509"/>
      <c r="E447" s="509"/>
      <c r="F447" s="509"/>
      <c r="G447" s="509"/>
      <c r="H447" s="509">
        <v>0.48</v>
      </c>
      <c r="I447" s="509"/>
      <c r="J447" s="508" t="s">
        <v>444</v>
      </c>
    </row>
    <row r="448" spans="1:10" ht="21" customHeight="1">
      <c r="A448" s="507" t="s">
        <v>10</v>
      </c>
      <c r="B448" s="508" t="s">
        <v>687</v>
      </c>
      <c r="C448" s="508" t="s">
        <v>397</v>
      </c>
      <c r="D448" s="509"/>
      <c r="E448" s="509"/>
      <c r="F448" s="509"/>
      <c r="G448" s="509"/>
      <c r="H448" s="509" t="s">
        <v>135</v>
      </c>
      <c r="I448" s="509"/>
      <c r="J448" s="508" t="s">
        <v>444</v>
      </c>
    </row>
    <row r="449" spans="1:10" ht="21" customHeight="1">
      <c r="A449" s="507" t="s">
        <v>10</v>
      </c>
      <c r="B449" s="508" t="s">
        <v>688</v>
      </c>
      <c r="C449" s="508" t="s">
        <v>397</v>
      </c>
      <c r="D449" s="509"/>
      <c r="E449" s="509"/>
      <c r="F449" s="509"/>
      <c r="G449" s="509"/>
      <c r="H449" s="509">
        <v>0.48</v>
      </c>
      <c r="I449" s="509"/>
      <c r="J449" s="508" t="s">
        <v>444</v>
      </c>
    </row>
    <row r="450" spans="1:10" ht="21" customHeight="1">
      <c r="A450" s="507" t="s">
        <v>10</v>
      </c>
      <c r="B450" s="508" t="s">
        <v>689</v>
      </c>
      <c r="C450" s="508" t="s">
        <v>397</v>
      </c>
      <c r="D450" s="509"/>
      <c r="E450" s="509"/>
      <c r="F450" s="509"/>
      <c r="G450" s="509"/>
      <c r="H450" s="509" t="s">
        <v>135</v>
      </c>
      <c r="I450" s="509"/>
      <c r="J450" s="508" t="s">
        <v>444</v>
      </c>
    </row>
    <row r="451" spans="1:10" ht="21" customHeight="1">
      <c r="A451" s="507" t="s">
        <v>10</v>
      </c>
      <c r="B451" s="508" t="s">
        <v>450</v>
      </c>
      <c r="C451" s="508" t="s">
        <v>397</v>
      </c>
      <c r="D451" s="509"/>
      <c r="E451" s="509"/>
      <c r="F451" s="509"/>
      <c r="G451" s="509"/>
      <c r="H451" s="509"/>
      <c r="I451" s="509">
        <f>'San Juan'!B10</f>
        <v>419.41</v>
      </c>
      <c r="J451" s="508" t="s">
        <v>451</v>
      </c>
    </row>
    <row r="452" spans="1:10" ht="21" customHeight="1">
      <c r="A452" s="507" t="s">
        <v>10</v>
      </c>
      <c r="B452" s="508" t="s">
        <v>453</v>
      </c>
      <c r="C452" s="508" t="s">
        <v>397</v>
      </c>
      <c r="D452" s="509"/>
      <c r="E452" s="509"/>
      <c r="F452" s="509"/>
      <c r="G452" s="509"/>
      <c r="H452" s="509"/>
      <c r="I452" s="509">
        <f>'San Juan'!D10</f>
        <v>28472.37</v>
      </c>
      <c r="J452" s="508" t="s">
        <v>451</v>
      </c>
    </row>
    <row r="453" spans="1:10" ht="21" customHeight="1">
      <c r="A453" s="507" t="s">
        <v>10</v>
      </c>
      <c r="B453" s="508" t="s">
        <v>455</v>
      </c>
      <c r="C453" s="508" t="s">
        <v>411</v>
      </c>
      <c r="D453" s="509"/>
      <c r="E453" s="509"/>
      <c r="F453" s="509"/>
      <c r="G453" s="509"/>
      <c r="H453" s="509"/>
      <c r="I453" s="509">
        <f>SUM($I$451*42)</f>
        <v>17615.22</v>
      </c>
      <c r="J453" s="508" t="s">
        <v>451</v>
      </c>
    </row>
    <row r="454" spans="1:10" ht="21" customHeight="1">
      <c r="A454" s="507" t="s">
        <v>10</v>
      </c>
      <c r="B454" s="508" t="s">
        <v>456</v>
      </c>
      <c r="C454" s="508" t="s">
        <v>397</v>
      </c>
      <c r="D454" s="509"/>
      <c r="E454" s="509"/>
      <c r="F454" s="509"/>
      <c r="G454" s="509"/>
      <c r="H454" s="509"/>
      <c r="I454" s="509">
        <f>'San Juan'!G10</f>
        <v>0</v>
      </c>
      <c r="J454" s="508" t="s">
        <v>451</v>
      </c>
    </row>
    <row r="455" spans="1:10" ht="21" customHeight="1">
      <c r="A455" s="507" t="s">
        <v>10</v>
      </c>
      <c r="B455" s="508" t="s">
        <v>457</v>
      </c>
      <c r="C455" s="508" t="s">
        <v>411</v>
      </c>
      <c r="D455" s="509"/>
      <c r="E455" s="509"/>
      <c r="F455" s="509"/>
      <c r="G455" s="509"/>
      <c r="H455" s="509"/>
      <c r="I455" s="509">
        <f>SUM($I$452*42)</f>
        <v>1195839.54</v>
      </c>
      <c r="J455" s="508" t="s">
        <v>451</v>
      </c>
    </row>
    <row r="456" spans="1:10" ht="21" customHeight="1">
      <c r="A456" s="507" t="s">
        <v>10</v>
      </c>
      <c r="B456" s="508" t="s">
        <v>458</v>
      </c>
      <c r="C456" s="508" t="s">
        <v>397</v>
      </c>
      <c r="D456" s="509"/>
      <c r="E456" s="509"/>
      <c r="F456" s="509"/>
      <c r="G456" s="509"/>
      <c r="H456" s="509"/>
      <c r="I456" s="509">
        <f>'San Juan'!I10</f>
        <v>0</v>
      </c>
      <c r="J456" s="508" t="s">
        <v>451</v>
      </c>
    </row>
    <row r="457" spans="1:10" ht="21" customHeight="1">
      <c r="A457" s="507" t="s">
        <v>10</v>
      </c>
      <c r="B457" s="508" t="s">
        <v>690</v>
      </c>
      <c r="C457" s="508" t="s">
        <v>397</v>
      </c>
      <c r="D457" s="509"/>
      <c r="E457" s="509"/>
      <c r="F457" s="509"/>
      <c r="G457" s="509"/>
      <c r="H457" s="509"/>
      <c r="I457" s="509">
        <f>'San Juan'!J10</f>
        <v>0.48</v>
      </c>
      <c r="J457" s="508" t="s">
        <v>451</v>
      </c>
    </row>
    <row r="458" spans="1:10" ht="21" customHeight="1">
      <c r="A458" s="507" t="s">
        <v>10</v>
      </c>
      <c r="B458" s="508" t="s">
        <v>691</v>
      </c>
      <c r="C458" s="508" t="s">
        <v>674</v>
      </c>
      <c r="D458" s="509"/>
      <c r="E458" s="509"/>
      <c r="F458" s="509"/>
      <c r="G458" s="509"/>
      <c r="H458" s="509"/>
      <c r="I458" s="509"/>
      <c r="J458" s="508" t="s">
        <v>451</v>
      </c>
    </row>
    <row r="459" spans="1:10" ht="21" customHeight="1">
      <c r="A459" s="507" t="s">
        <v>10</v>
      </c>
      <c r="B459" s="508" t="s">
        <v>692</v>
      </c>
      <c r="C459" s="508" t="s">
        <v>397</v>
      </c>
      <c r="D459" s="509"/>
      <c r="E459" s="509"/>
      <c r="F459" s="509"/>
      <c r="G459" s="509"/>
      <c r="H459" s="509"/>
      <c r="I459" s="509">
        <f>'San Juan'!L10</f>
        <v>0.48</v>
      </c>
      <c r="J459" s="508" t="s">
        <v>451</v>
      </c>
    </row>
    <row r="460" spans="1:10" ht="21" customHeight="1">
      <c r="A460" s="507" t="s">
        <v>10</v>
      </c>
      <c r="B460" s="508" t="s">
        <v>693</v>
      </c>
      <c r="C460" s="508" t="s">
        <v>674</v>
      </c>
      <c r="D460" s="509"/>
      <c r="E460" s="509"/>
      <c r="F460" s="509"/>
      <c r="G460" s="509"/>
      <c r="H460" s="509"/>
      <c r="I460" s="509"/>
      <c r="J460" s="508" t="s">
        <v>451</v>
      </c>
    </row>
    <row r="461" spans="1:10" ht="21" customHeight="1">
      <c r="A461" s="507" t="s">
        <v>10</v>
      </c>
      <c r="B461" s="508" t="s">
        <v>670</v>
      </c>
      <c r="C461" s="508" t="s">
        <v>397</v>
      </c>
      <c r="D461" s="509">
        <v>240889</v>
      </c>
      <c r="E461" s="509"/>
      <c r="F461" s="509"/>
      <c r="G461" s="509"/>
      <c r="H461" s="509"/>
      <c r="I461" s="509"/>
      <c r="J461" s="508"/>
    </row>
    <row r="462" spans="1:10" ht="21" customHeight="1">
      <c r="A462" s="507" t="s">
        <v>10</v>
      </c>
      <c r="B462" s="508" t="s">
        <v>694</v>
      </c>
      <c r="C462" s="508" t="s">
        <v>397</v>
      </c>
      <c r="D462" s="509">
        <v>0</v>
      </c>
      <c r="E462" s="509"/>
      <c r="F462" s="509"/>
      <c r="G462" s="509"/>
      <c r="H462" s="509"/>
      <c r="I462" s="509"/>
      <c r="J462" s="508"/>
    </row>
    <row r="463" spans="1:10" ht="21" customHeight="1">
      <c r="A463" s="507" t="s">
        <v>10</v>
      </c>
      <c r="B463" s="508" t="s">
        <v>695</v>
      </c>
      <c r="C463" s="508" t="s">
        <v>397</v>
      </c>
      <c r="D463" s="509">
        <v>987272793.86000001</v>
      </c>
      <c r="E463" s="509"/>
      <c r="F463" s="509"/>
      <c r="G463" s="509"/>
      <c r="H463" s="509"/>
      <c r="I463" s="509"/>
      <c r="J463" s="508"/>
    </row>
    <row r="464" spans="1:10" ht="21" customHeight="1">
      <c r="A464" s="507" t="s">
        <v>10</v>
      </c>
      <c r="B464" s="508" t="s">
        <v>696</v>
      </c>
      <c r="C464" s="508" t="s">
        <v>397</v>
      </c>
      <c r="D464" s="509">
        <v>0</v>
      </c>
      <c r="E464" s="509"/>
      <c r="F464" s="509"/>
      <c r="G464" s="509"/>
      <c r="H464" s="509"/>
      <c r="I464" s="509"/>
      <c r="J464" s="508"/>
    </row>
    <row r="465" spans="1:10" ht="21" customHeight="1">
      <c r="A465" s="507" t="s">
        <v>10</v>
      </c>
      <c r="B465" s="508" t="s">
        <v>493</v>
      </c>
      <c r="C465" s="508" t="s">
        <v>397</v>
      </c>
      <c r="D465" s="509"/>
      <c r="E465" s="509">
        <v>9153.5300000000007</v>
      </c>
      <c r="F465" s="509"/>
      <c r="G465" s="509"/>
      <c r="H465" s="509"/>
      <c r="I465" s="509"/>
      <c r="J465" s="508" t="s">
        <v>412</v>
      </c>
    </row>
    <row r="466" spans="1:10" ht="21" customHeight="1">
      <c r="A466" s="507" t="s">
        <v>10</v>
      </c>
      <c r="B466" s="508" t="s">
        <v>494</v>
      </c>
      <c r="C466" s="508" t="s">
        <v>397</v>
      </c>
      <c r="D466" s="509"/>
      <c r="E466" s="509">
        <v>0</v>
      </c>
      <c r="F466" s="509"/>
      <c r="G466" s="509"/>
      <c r="H466" s="509"/>
      <c r="I466" s="509"/>
      <c r="J466" s="508" t="s">
        <v>412</v>
      </c>
    </row>
    <row r="467" spans="1:10" ht="21" customHeight="1">
      <c r="A467" s="507" t="s">
        <v>10</v>
      </c>
      <c r="B467" s="508" t="s">
        <v>495</v>
      </c>
      <c r="C467" s="508" t="s">
        <v>411</v>
      </c>
      <c r="D467" s="509"/>
      <c r="E467" s="509">
        <f>SUM($E$465*42)</f>
        <v>384448.26</v>
      </c>
      <c r="F467" s="509"/>
      <c r="G467" s="509"/>
      <c r="H467" s="509"/>
      <c r="I467" s="509"/>
      <c r="J467" s="508" t="s">
        <v>412</v>
      </c>
    </row>
    <row r="468" spans="1:10" ht="21" customHeight="1">
      <c r="A468" s="507" t="s">
        <v>10</v>
      </c>
      <c r="B468" s="508" t="s">
        <v>496</v>
      </c>
      <c r="C468" s="508" t="s">
        <v>411</v>
      </c>
      <c r="D468" s="509"/>
      <c r="E468" s="509">
        <f>SUM($E$466*42)</f>
        <v>0</v>
      </c>
      <c r="F468" s="509"/>
      <c r="G468" s="509"/>
      <c r="H468" s="509"/>
      <c r="I468" s="509"/>
      <c r="J468" s="508" t="s">
        <v>412</v>
      </c>
    </row>
    <row r="469" spans="1:10" ht="21" customHeight="1">
      <c r="A469" s="507" t="s">
        <v>10</v>
      </c>
      <c r="B469" s="508" t="s">
        <v>697</v>
      </c>
      <c r="C469" s="508" t="s">
        <v>397</v>
      </c>
      <c r="D469" s="509"/>
      <c r="E469" s="509">
        <v>7.3999999999999999E-4</v>
      </c>
      <c r="F469" s="509"/>
      <c r="G469" s="509"/>
      <c r="H469" s="509"/>
      <c r="I469" s="509"/>
      <c r="J469" s="508" t="s">
        <v>412</v>
      </c>
    </row>
    <row r="470" spans="1:10" ht="21" customHeight="1">
      <c r="A470" s="507" t="s">
        <v>10</v>
      </c>
      <c r="B470" s="508" t="s">
        <v>698</v>
      </c>
      <c r="C470" s="508" t="s">
        <v>397</v>
      </c>
      <c r="D470" s="509"/>
      <c r="E470" s="509">
        <v>7.3999999999999999E-4</v>
      </c>
      <c r="F470" s="509"/>
      <c r="G470" s="509"/>
      <c r="H470" s="509"/>
      <c r="I470" s="509"/>
      <c r="J470" s="508" t="s">
        <v>412</v>
      </c>
    </row>
    <row r="471" spans="1:10" ht="21" customHeight="1">
      <c r="A471" s="507" t="s">
        <v>10</v>
      </c>
      <c r="B471" s="508" t="s">
        <v>699</v>
      </c>
      <c r="C471" s="508" t="s">
        <v>397</v>
      </c>
      <c r="D471" s="509"/>
      <c r="E471" s="509">
        <v>928901636.72000003</v>
      </c>
      <c r="F471" s="509"/>
      <c r="G471" s="509"/>
      <c r="H471" s="509"/>
      <c r="I471" s="509"/>
      <c r="J471" s="508" t="s">
        <v>412</v>
      </c>
    </row>
    <row r="472" spans="1:10" ht="21" customHeight="1">
      <c r="A472" s="507" t="s">
        <v>10</v>
      </c>
      <c r="B472" s="508" t="s">
        <v>700</v>
      </c>
      <c r="C472" s="508" t="s">
        <v>397</v>
      </c>
      <c r="D472" s="509"/>
      <c r="E472" s="509">
        <v>0</v>
      </c>
      <c r="F472" s="509"/>
      <c r="G472" s="509"/>
      <c r="H472" s="509"/>
      <c r="I472" s="509"/>
      <c r="J472" s="508" t="s">
        <v>412</v>
      </c>
    </row>
    <row r="473" spans="1:10" ht="21" customHeight="1">
      <c r="A473" s="507" t="s">
        <v>10</v>
      </c>
      <c r="B473" s="508" t="s">
        <v>497</v>
      </c>
      <c r="C473" s="508" t="s">
        <v>397</v>
      </c>
      <c r="D473" s="509"/>
      <c r="E473" s="509"/>
      <c r="F473" s="509">
        <v>39706.79</v>
      </c>
      <c r="G473" s="509"/>
      <c r="H473" s="509"/>
      <c r="I473" s="509"/>
      <c r="J473" s="508"/>
    </row>
    <row r="474" spans="1:10" ht="21" customHeight="1">
      <c r="A474" s="507" t="s">
        <v>10</v>
      </c>
      <c r="B474" s="508" t="s">
        <v>498</v>
      </c>
      <c r="C474" s="508" t="s">
        <v>397</v>
      </c>
      <c r="D474" s="509"/>
      <c r="E474" s="509"/>
      <c r="F474" s="509">
        <v>0</v>
      </c>
      <c r="G474" s="509"/>
      <c r="H474" s="509"/>
      <c r="I474" s="509"/>
      <c r="J474" s="508"/>
    </row>
    <row r="475" spans="1:10" ht="21" customHeight="1">
      <c r="A475" s="507" t="s">
        <v>10</v>
      </c>
      <c r="B475" s="508" t="s">
        <v>499</v>
      </c>
      <c r="C475" s="508" t="s">
        <v>411</v>
      </c>
      <c r="D475" s="509"/>
      <c r="E475" s="509"/>
      <c r="F475" s="509">
        <f>SUM($F$473*42)</f>
        <v>1667685.18</v>
      </c>
      <c r="G475" s="509"/>
      <c r="H475" s="509"/>
      <c r="I475" s="509"/>
      <c r="J475" s="508"/>
    </row>
    <row r="476" spans="1:10" ht="21" customHeight="1">
      <c r="A476" s="507" t="s">
        <v>10</v>
      </c>
      <c r="B476" s="508" t="s">
        <v>500</v>
      </c>
      <c r="C476" s="508" t="s">
        <v>411</v>
      </c>
      <c r="D476" s="509"/>
      <c r="E476" s="509"/>
      <c r="F476" s="509">
        <f>SUM($F$474*42)</f>
        <v>0</v>
      </c>
      <c r="G476" s="509"/>
      <c r="H476" s="509"/>
      <c r="I476" s="509"/>
      <c r="J476" s="508"/>
    </row>
    <row r="477" spans="1:10" ht="21" customHeight="1">
      <c r="A477" s="507" t="s">
        <v>10</v>
      </c>
      <c r="B477" s="508" t="s">
        <v>701</v>
      </c>
      <c r="C477" s="508" t="s">
        <v>397</v>
      </c>
      <c r="D477" s="509"/>
      <c r="E477" s="509"/>
      <c r="F477" s="509">
        <v>5.9999999999999995E-4</v>
      </c>
      <c r="G477" s="509"/>
      <c r="H477" s="509"/>
      <c r="I477" s="509"/>
      <c r="J477" s="508"/>
    </row>
    <row r="478" spans="1:10" ht="21" customHeight="1">
      <c r="A478" s="507" t="s">
        <v>10</v>
      </c>
      <c r="B478" s="508" t="s">
        <v>702</v>
      </c>
      <c r="C478" s="508" t="s">
        <v>397</v>
      </c>
      <c r="D478" s="509"/>
      <c r="E478" s="509"/>
      <c r="F478" s="509">
        <v>5.9999999999999995E-4</v>
      </c>
      <c r="G478" s="509"/>
      <c r="H478" s="509"/>
      <c r="I478" s="509"/>
      <c r="J478" s="508"/>
    </row>
    <row r="479" spans="1:10" ht="21" customHeight="1">
      <c r="A479" s="507" t="s">
        <v>10</v>
      </c>
      <c r="B479" s="508" t="s">
        <v>703</v>
      </c>
      <c r="C479" s="508" t="s">
        <v>397</v>
      </c>
      <c r="D479" s="509"/>
      <c r="E479" s="509"/>
      <c r="F479" s="509">
        <v>704587502.38</v>
      </c>
      <c r="G479" s="509"/>
      <c r="H479" s="509"/>
      <c r="I479" s="509"/>
      <c r="J479" s="508"/>
    </row>
    <row r="480" spans="1:10" ht="21" customHeight="1">
      <c r="A480" s="507" t="s">
        <v>10</v>
      </c>
      <c r="B480" s="508" t="s">
        <v>704</v>
      </c>
      <c r="C480" s="508" t="s">
        <v>397</v>
      </c>
      <c r="D480" s="509"/>
      <c r="E480" s="509"/>
      <c r="F480" s="509">
        <v>0</v>
      </c>
      <c r="G480" s="509"/>
      <c r="H480" s="509"/>
      <c r="I480" s="509"/>
      <c r="J480" s="508"/>
    </row>
    <row r="481" spans="1:10" ht="21" customHeight="1">
      <c r="A481" s="507" t="s">
        <v>10</v>
      </c>
      <c r="B481" s="508" t="s">
        <v>503</v>
      </c>
      <c r="C481" s="508" t="s">
        <v>397</v>
      </c>
      <c r="D481" s="509"/>
      <c r="E481" s="509"/>
      <c r="F481" s="509"/>
      <c r="G481" s="509">
        <v>1450441.86</v>
      </c>
      <c r="H481" s="509"/>
      <c r="I481" s="509"/>
      <c r="J481" s="508"/>
    </row>
    <row r="482" spans="1:10" ht="21" customHeight="1">
      <c r="A482" s="507" t="s">
        <v>10</v>
      </c>
      <c r="B482" s="508" t="s">
        <v>504</v>
      </c>
      <c r="C482" s="508" t="s">
        <v>397</v>
      </c>
      <c r="D482" s="509"/>
      <c r="E482" s="509"/>
      <c r="F482" s="509"/>
      <c r="G482" s="509">
        <v>0</v>
      </c>
      <c r="H482" s="509"/>
      <c r="I482" s="509"/>
      <c r="J482" s="508"/>
    </row>
    <row r="483" spans="1:10" ht="21" customHeight="1">
      <c r="A483" s="507" t="s">
        <v>10</v>
      </c>
      <c r="B483" s="508" t="s">
        <v>705</v>
      </c>
      <c r="C483" s="508" t="s">
        <v>397</v>
      </c>
      <c r="D483" s="509"/>
      <c r="E483" s="509"/>
      <c r="F483" s="509"/>
      <c r="G483" s="509">
        <v>1E-3</v>
      </c>
      <c r="H483" s="509"/>
      <c r="I483" s="509"/>
      <c r="J483" s="508"/>
    </row>
    <row r="484" spans="1:10" ht="21" customHeight="1">
      <c r="A484" s="507" t="s">
        <v>10</v>
      </c>
      <c r="B484" s="508" t="s">
        <v>706</v>
      </c>
      <c r="C484" s="508" t="s">
        <v>397</v>
      </c>
      <c r="D484" s="509"/>
      <c r="E484" s="509"/>
      <c r="F484" s="509"/>
      <c r="G484" s="509">
        <v>1E-3</v>
      </c>
      <c r="H484" s="509"/>
      <c r="I484" s="509"/>
      <c r="J484" s="508"/>
    </row>
    <row r="485" spans="1:10" ht="21" customHeight="1">
      <c r="A485" s="507" t="s">
        <v>10</v>
      </c>
      <c r="B485" s="508" t="s">
        <v>707</v>
      </c>
      <c r="C485" s="508" t="s">
        <v>397</v>
      </c>
      <c r="D485" s="509"/>
      <c r="E485" s="509"/>
      <c r="F485" s="509"/>
      <c r="G485" s="509">
        <v>850329086.03999996</v>
      </c>
      <c r="H485" s="509"/>
      <c r="I485" s="509"/>
      <c r="J485" s="508"/>
    </row>
    <row r="486" spans="1:10" ht="21" customHeight="1">
      <c r="A486" s="507" t="s">
        <v>10</v>
      </c>
      <c r="B486" s="508" t="s">
        <v>607</v>
      </c>
      <c r="C486" s="508" t="s">
        <v>397</v>
      </c>
      <c r="D486" s="509"/>
      <c r="E486" s="509"/>
      <c r="F486" s="509"/>
      <c r="G486" s="509">
        <v>1E-4</v>
      </c>
      <c r="H486" s="509"/>
      <c r="I486" s="509"/>
      <c r="J486" s="508"/>
    </row>
    <row r="487" spans="1:10" ht="21" customHeight="1">
      <c r="A487" s="507" t="s">
        <v>10</v>
      </c>
      <c r="B487" s="508" t="s">
        <v>505</v>
      </c>
      <c r="C487" s="508" t="s">
        <v>397</v>
      </c>
      <c r="D487" s="509"/>
      <c r="E487" s="509"/>
      <c r="F487" s="509"/>
      <c r="G487" s="509"/>
      <c r="H487" s="509">
        <v>38873.79</v>
      </c>
      <c r="I487" s="509"/>
      <c r="J487" s="508"/>
    </row>
    <row r="488" spans="1:10" ht="21" customHeight="1">
      <c r="A488" s="507" t="s">
        <v>10</v>
      </c>
      <c r="B488" s="508" t="s">
        <v>506</v>
      </c>
      <c r="C488" s="508" t="s">
        <v>397</v>
      </c>
      <c r="D488" s="509"/>
      <c r="E488" s="509"/>
      <c r="F488" s="509"/>
      <c r="G488" s="509"/>
      <c r="H488" s="509">
        <v>0</v>
      </c>
      <c r="I488" s="509"/>
      <c r="J488" s="508"/>
    </row>
    <row r="489" spans="1:10" ht="21" customHeight="1">
      <c r="A489" s="507" t="s">
        <v>10</v>
      </c>
      <c r="B489" s="508" t="s">
        <v>507</v>
      </c>
      <c r="C489" s="508" t="s">
        <v>411</v>
      </c>
      <c r="D489" s="509"/>
      <c r="E489" s="509"/>
      <c r="F489" s="509"/>
      <c r="G489" s="509"/>
      <c r="H489" s="509">
        <f>SUM($H$487*42)</f>
        <v>1632699.18</v>
      </c>
      <c r="I489" s="509"/>
      <c r="J489" s="508"/>
    </row>
    <row r="490" spans="1:10" ht="21" customHeight="1">
      <c r="A490" s="507" t="s">
        <v>10</v>
      </c>
      <c r="B490" s="508" t="s">
        <v>508</v>
      </c>
      <c r="C490" s="508" t="s">
        <v>411</v>
      </c>
      <c r="D490" s="509"/>
      <c r="E490" s="509"/>
      <c r="F490" s="509"/>
      <c r="G490" s="509"/>
      <c r="H490" s="509">
        <f>SUM($H$488*42)</f>
        <v>0</v>
      </c>
      <c r="I490" s="509"/>
      <c r="J490" s="508"/>
    </row>
    <row r="491" spans="1:10" ht="21" customHeight="1">
      <c r="A491" s="507" t="s">
        <v>10</v>
      </c>
      <c r="B491" s="508" t="s">
        <v>708</v>
      </c>
      <c r="C491" s="508" t="s">
        <v>397</v>
      </c>
      <c r="D491" s="509"/>
      <c r="E491" s="509"/>
      <c r="F491" s="509"/>
      <c r="G491" s="509"/>
      <c r="H491" s="509">
        <v>6.6E-4</v>
      </c>
      <c r="I491" s="509"/>
      <c r="J491" s="508"/>
    </row>
    <row r="492" spans="1:10" ht="21" customHeight="1">
      <c r="A492" s="507" t="s">
        <v>10</v>
      </c>
      <c r="B492" s="508" t="s">
        <v>709</v>
      </c>
      <c r="C492" s="508" t="s">
        <v>397</v>
      </c>
      <c r="D492" s="509"/>
      <c r="E492" s="509"/>
      <c r="F492" s="509"/>
      <c r="G492" s="509"/>
      <c r="H492" s="509">
        <v>6.6E-4</v>
      </c>
      <c r="I492" s="509"/>
      <c r="J492" s="508"/>
    </row>
    <row r="493" spans="1:10" ht="21" customHeight="1">
      <c r="A493" s="507" t="s">
        <v>10</v>
      </c>
      <c r="B493" s="508" t="s">
        <v>710</v>
      </c>
      <c r="C493" s="508" t="s">
        <v>397</v>
      </c>
      <c r="D493" s="509"/>
      <c r="E493" s="509"/>
      <c r="F493" s="509"/>
      <c r="G493" s="509"/>
      <c r="H493" s="509">
        <v>865899021.70000005</v>
      </c>
      <c r="I493" s="509"/>
      <c r="J493" s="508"/>
    </row>
    <row r="494" spans="1:10" ht="21" customHeight="1">
      <c r="A494" s="507" t="s">
        <v>10</v>
      </c>
      <c r="B494" s="508" t="s">
        <v>711</v>
      </c>
      <c r="C494" s="508" t="s">
        <v>397</v>
      </c>
      <c r="D494" s="509"/>
      <c r="E494" s="509"/>
      <c r="F494" s="509"/>
      <c r="G494" s="509"/>
      <c r="H494" s="509">
        <v>0</v>
      </c>
      <c r="I494" s="509"/>
      <c r="J494" s="508"/>
    </row>
    <row r="495" spans="1:10" ht="21" customHeight="1">
      <c r="A495" s="507" t="s">
        <v>10</v>
      </c>
      <c r="B495" s="508" t="s">
        <v>509</v>
      </c>
      <c r="C495" s="508" t="s">
        <v>397</v>
      </c>
      <c r="D495" s="509"/>
      <c r="E495" s="509"/>
      <c r="F495" s="509"/>
      <c r="G495" s="509"/>
      <c r="H495" s="509"/>
      <c r="I495" s="509">
        <f>'San Juan'!B28</f>
        <v>10935.17</v>
      </c>
      <c r="J495" s="508"/>
    </row>
    <row r="496" spans="1:10" ht="21" customHeight="1">
      <c r="A496" s="507" t="s">
        <v>10</v>
      </c>
      <c r="B496" s="508" t="s">
        <v>510</v>
      </c>
      <c r="C496" s="508" t="s">
        <v>397</v>
      </c>
      <c r="D496" s="509"/>
      <c r="E496" s="509"/>
      <c r="F496" s="509"/>
      <c r="G496" s="509"/>
      <c r="H496" s="509"/>
      <c r="I496" s="509">
        <f>'San Juan'!C28</f>
        <v>0</v>
      </c>
      <c r="J496" s="508"/>
    </row>
    <row r="497" spans="1:10" ht="21" customHeight="1">
      <c r="A497" s="507" t="s">
        <v>10</v>
      </c>
      <c r="B497" s="508" t="s">
        <v>511</v>
      </c>
      <c r="C497" s="508" t="s">
        <v>411</v>
      </c>
      <c r="D497" s="509"/>
      <c r="E497" s="509"/>
      <c r="F497" s="509"/>
      <c r="G497" s="509"/>
      <c r="H497" s="509"/>
      <c r="I497" s="509">
        <f>SUM($I$495*42)</f>
        <v>459277.14</v>
      </c>
      <c r="J497" s="508"/>
    </row>
    <row r="498" spans="1:10" ht="21" customHeight="1">
      <c r="A498" s="507" t="s">
        <v>10</v>
      </c>
      <c r="B498" s="508" t="s">
        <v>512</v>
      </c>
      <c r="C498" s="508" t="s">
        <v>411</v>
      </c>
      <c r="D498" s="509"/>
      <c r="E498" s="509"/>
      <c r="F498" s="509"/>
      <c r="G498" s="509"/>
      <c r="H498" s="509"/>
      <c r="I498" s="509">
        <f>SUM($I$496*42)</f>
        <v>0</v>
      </c>
      <c r="J498" s="508"/>
    </row>
    <row r="499" spans="1:10" ht="21" customHeight="1">
      <c r="A499" s="507" t="s">
        <v>10</v>
      </c>
      <c r="B499" s="508" t="s">
        <v>569</v>
      </c>
      <c r="C499" s="508" t="s">
        <v>397</v>
      </c>
      <c r="D499" s="509"/>
      <c r="E499" s="509"/>
      <c r="F499" s="509"/>
      <c r="G499" s="509"/>
      <c r="H499" s="509"/>
      <c r="I499" s="509">
        <f>'San Juan'!F28</f>
        <v>6.9999999999999999E-4</v>
      </c>
      <c r="J499" s="508"/>
    </row>
    <row r="500" spans="1:10" ht="21" customHeight="1">
      <c r="A500" s="507" t="s">
        <v>10</v>
      </c>
      <c r="B500" s="508" t="s">
        <v>536</v>
      </c>
      <c r="C500" s="508" t="s">
        <v>397</v>
      </c>
      <c r="D500" s="509"/>
      <c r="E500" s="509"/>
      <c r="F500" s="509"/>
      <c r="G500" s="509"/>
      <c r="H500" s="509"/>
      <c r="I500" s="509">
        <f>'San Juan'!G28</f>
        <v>6.9999999999999999E-4</v>
      </c>
      <c r="J500" s="508"/>
    </row>
    <row r="501" spans="1:10" ht="21" customHeight="1">
      <c r="A501" s="507" t="s">
        <v>10</v>
      </c>
      <c r="B501" s="508" t="s">
        <v>712</v>
      </c>
      <c r="C501" s="508" t="s">
        <v>397</v>
      </c>
      <c r="D501" s="509"/>
      <c r="E501" s="509"/>
      <c r="F501" s="509"/>
      <c r="G501" s="509"/>
      <c r="H501" s="509"/>
      <c r="I501" s="509">
        <f>'San Juan'!N28</f>
        <v>949989652.37</v>
      </c>
      <c r="J501" s="508"/>
    </row>
    <row r="502" spans="1:10" ht="21" customHeight="1">
      <c r="A502" s="507" t="s">
        <v>10</v>
      </c>
      <c r="B502" s="508" t="s">
        <v>713</v>
      </c>
      <c r="C502" s="508" t="s">
        <v>397</v>
      </c>
      <c r="D502" s="509"/>
      <c r="E502" s="509"/>
      <c r="F502" s="509"/>
      <c r="G502" s="509"/>
      <c r="H502" s="509"/>
      <c r="I502" s="509">
        <f>'San Juan'!O28</f>
        <v>916670375.03999996</v>
      </c>
      <c r="J502" s="508"/>
    </row>
    <row r="503" spans="1:10" ht="21" customHeight="1">
      <c r="A503" s="510" t="s">
        <v>714</v>
      </c>
      <c r="B503" s="506"/>
      <c r="C503" s="506"/>
      <c r="D503" s="511"/>
      <c r="E503" s="511"/>
      <c r="F503" s="511"/>
      <c r="G503" s="511"/>
      <c r="H503" s="511"/>
      <c r="I503" s="512"/>
      <c r="J503" s="506"/>
    </row>
    <row r="504" spans="1:10" ht="21" customHeight="1">
      <c r="A504" s="507" t="s">
        <v>714</v>
      </c>
      <c r="B504" s="508" t="s">
        <v>715</v>
      </c>
      <c r="C504" s="508" t="s">
        <v>716</v>
      </c>
      <c r="D504" s="509">
        <f>(515657.4+515.5+1229.1)*2204.6/45826002</f>
        <v>24.891205852956581</v>
      </c>
      <c r="E504" s="509">
        <f>(515657.4+515.5+1229.1)*2204.6/45826002</f>
        <v>24.891205852956581</v>
      </c>
      <c r="F504" s="509">
        <f>(515657.4+515.5+1229.1)*2204.6/45826002</f>
        <v>24.891205852956581</v>
      </c>
      <c r="G504" s="509">
        <f>(515657.4+515.5+1229.1)*2204.6/45826002</f>
        <v>24.891205852956581</v>
      </c>
      <c r="H504" s="509">
        <f>(515657.4+515.5+1229.1)*2204.6/45826002</f>
        <v>24.891205852956581</v>
      </c>
      <c r="I504" s="509">
        <f>'Cálculos SJ'!R14</f>
        <v>24.891205852956599</v>
      </c>
      <c r="J504" s="508" t="s">
        <v>18</v>
      </c>
    </row>
    <row r="505" spans="1:10" ht="21" customHeight="1">
      <c r="A505" s="507" t="s">
        <v>714</v>
      </c>
      <c r="B505" s="508" t="s">
        <v>484</v>
      </c>
      <c r="C505" s="508" t="s">
        <v>411</v>
      </c>
      <c r="D505" s="509">
        <f>$D$400+$D$401</f>
        <v>0</v>
      </c>
      <c r="E505" s="509">
        <f>$E$411+$E$412</f>
        <v>0</v>
      </c>
      <c r="F505" s="509">
        <f>$F$423+$F$424</f>
        <v>0</v>
      </c>
      <c r="G505" s="509">
        <f>$G$431+$G$432</f>
        <v>0</v>
      </c>
      <c r="H505" s="509">
        <f>$H$443+$H$444</f>
        <v>0</v>
      </c>
      <c r="I505" s="509">
        <f>$I$453+$I$454</f>
        <v>17615.22</v>
      </c>
      <c r="J505" s="508" t="s">
        <v>107</v>
      </c>
    </row>
    <row r="506" spans="1:10" ht="21" customHeight="1">
      <c r="A506" s="507" t="s">
        <v>714</v>
      </c>
      <c r="B506" s="508" t="s">
        <v>489</v>
      </c>
      <c r="C506" s="508" t="s">
        <v>411</v>
      </c>
      <c r="D506" s="509">
        <f>+$D$402+$D$403</f>
        <v>1269731</v>
      </c>
      <c r="E506" s="509">
        <f>+$E$413+$E$414</f>
        <v>2293641.42</v>
      </c>
      <c r="F506" s="509">
        <f>+$F$425+$F$426</f>
        <v>1776309.36</v>
      </c>
      <c r="G506" s="509">
        <f>+$G$433+$G$434</f>
        <v>3445860.18</v>
      </c>
      <c r="H506" s="509">
        <f>+$H$445+$H$446</f>
        <v>2858005.5</v>
      </c>
      <c r="I506" s="509">
        <f>+$I$455+$I$456</f>
        <v>1195839.54</v>
      </c>
      <c r="J506" s="508" t="s">
        <v>107</v>
      </c>
    </row>
    <row r="507" spans="1:10" ht="21" customHeight="1">
      <c r="A507" s="507" t="s">
        <v>714</v>
      </c>
      <c r="B507" s="508" t="s">
        <v>564</v>
      </c>
      <c r="C507" s="508" t="s">
        <v>411</v>
      </c>
      <c r="D507" s="509">
        <f>IF(MAX($D$404,$D$405,$D$406,$D$407)&gt;0,AVERAGE($D$404,$D$405,$D$406,$D$407),0)</f>
        <v>0.47</v>
      </c>
      <c r="E507" s="509">
        <f>IF(MAX($E$415,$E$416,$E$417,$E$418)&gt;0,AVERAGE($E$415,$E$416,$E$417,$E$418),0)</f>
        <v>0.47</v>
      </c>
      <c r="F507" s="509">
        <f>IF(MAX($F$427,$F$428,$F$429,$F$430)&gt;0,AVERAGE($F$427,$F$428,$F$429,$F$430),0)</f>
        <v>0.42</v>
      </c>
      <c r="G507" s="509">
        <f>IF(MAX($G$435,$G$436,$G$437,$G$438)&gt;0,AVERAGE($G$435,$G$436,$G$437,$G$438),0)</f>
        <v>0.46</v>
      </c>
      <c r="H507" s="509">
        <f>IF(MAX($H$447,$H$448,$H$449,$H$450)&gt;0,AVERAGE($H$447,$H$448,$H$449,$H$450),0)</f>
        <v>0.48</v>
      </c>
      <c r="I507" s="509">
        <f>IF(MAX($I$457,$I$458,$I$459,$I$460)&gt;0,AVERAGE($I$457,$I$458,$I$459,$I$460),0)</f>
        <v>0.48</v>
      </c>
      <c r="J507" s="508" t="s">
        <v>191</v>
      </c>
    </row>
    <row r="508" spans="1:10" ht="21" customHeight="1">
      <c r="A508" s="507" t="s">
        <v>714</v>
      </c>
      <c r="B508" s="508" t="s">
        <v>604</v>
      </c>
      <c r="C508" s="508" t="s">
        <v>397</v>
      </c>
      <c r="D508" s="509">
        <v>0.04</v>
      </c>
      <c r="E508" s="509">
        <v>0.04</v>
      </c>
      <c r="F508" s="509">
        <v>0.04</v>
      </c>
      <c r="G508" s="509">
        <v>0.04</v>
      </c>
      <c r="H508" s="509">
        <v>0.04</v>
      </c>
      <c r="I508" s="509">
        <f>'Cálculos SJ'!B23</f>
        <v>0.04</v>
      </c>
      <c r="J508" s="508"/>
    </row>
    <row r="509" spans="1:10" ht="21" customHeight="1">
      <c r="A509" s="507" t="s">
        <v>714</v>
      </c>
      <c r="B509" s="508" t="s">
        <v>670</v>
      </c>
      <c r="C509" s="508" t="s">
        <v>411</v>
      </c>
      <c r="D509" s="509">
        <f>$D$505+$D$506</f>
        <v>1269731</v>
      </c>
      <c r="E509" s="509">
        <f>$E$505+$E$506</f>
        <v>2293641.42</v>
      </c>
      <c r="F509" s="509">
        <f>$F$505+$F$506</f>
        <v>1776309.36</v>
      </c>
      <c r="G509" s="509">
        <f>$G$505+$G$506</f>
        <v>3445860.18</v>
      </c>
      <c r="H509" s="509">
        <f>$H$505+$H$506</f>
        <v>2858005.5</v>
      </c>
      <c r="I509" s="509">
        <f>$I$505+$I$506</f>
        <v>1213454.76</v>
      </c>
      <c r="J509" s="508"/>
    </row>
    <row r="510" spans="1:10" ht="21" customHeight="1">
      <c r="A510" s="507" t="s">
        <v>714</v>
      </c>
      <c r="B510" s="508" t="s">
        <v>717</v>
      </c>
      <c r="C510" s="508" t="s">
        <v>397</v>
      </c>
      <c r="D510" s="509">
        <v>0.15</v>
      </c>
      <c r="E510" s="509">
        <v>0.15</v>
      </c>
      <c r="F510" s="509">
        <v>0.15</v>
      </c>
      <c r="G510" s="509">
        <v>0.15</v>
      </c>
      <c r="H510" s="509">
        <v>0.15</v>
      </c>
      <c r="I510" s="509">
        <f>'Cálculos SJ'!H23</f>
        <v>0.15</v>
      </c>
      <c r="J510" s="508"/>
    </row>
    <row r="511" spans="1:10" ht="21" customHeight="1">
      <c r="A511" s="507" t="s">
        <v>714</v>
      </c>
      <c r="B511" s="508" t="s">
        <v>697</v>
      </c>
      <c r="C511" s="508" t="s">
        <v>397</v>
      </c>
      <c r="D511" s="509">
        <v>2000</v>
      </c>
      <c r="E511" s="509">
        <v>2000</v>
      </c>
      <c r="F511" s="509">
        <v>2000</v>
      </c>
      <c r="G511" s="509">
        <v>2000</v>
      </c>
      <c r="H511" s="509">
        <v>2000</v>
      </c>
      <c r="I511" s="509">
        <f>'Cálculos SJ'!F24</f>
        <v>2000</v>
      </c>
      <c r="J511" s="508"/>
    </row>
    <row r="512" spans="1:10" ht="21" customHeight="1">
      <c r="A512" s="507" t="s">
        <v>714</v>
      </c>
      <c r="B512" s="508" t="s">
        <v>501</v>
      </c>
      <c r="C512" s="508" t="s">
        <v>411</v>
      </c>
      <c r="D512" s="509">
        <f>(($D$508*$D$509*$D$510)/$D$511)</f>
        <v>3.8091929999999996</v>
      </c>
      <c r="E512" s="509">
        <f>(($E$508*$E$509*$E$510)/$E$511)</f>
        <v>6.8809242599999996</v>
      </c>
      <c r="F512" s="509">
        <f>(($F$508*$F$509*$F$510)/$F$511)</f>
        <v>5.3289280799999998</v>
      </c>
      <c r="G512" s="509">
        <f>(($G$508*$G$509*$G$510)/$G$511)</f>
        <v>10.337580540000001</v>
      </c>
      <c r="H512" s="509">
        <f>(($H$508*$H$509*$H$510)/$H$511)</f>
        <v>8.574016499999999</v>
      </c>
      <c r="I512" s="509">
        <f>(($I$508*$I$509*$I$510)/$I$511)</f>
        <v>3.6403642799999996</v>
      </c>
      <c r="J512" s="508"/>
    </row>
    <row r="513" spans="1:10" ht="21" customHeight="1">
      <c r="A513" s="507" t="s">
        <v>714</v>
      </c>
      <c r="B513" s="508" t="s">
        <v>570</v>
      </c>
      <c r="C513" s="508" t="s">
        <v>397</v>
      </c>
      <c r="D513" s="509">
        <v>0.03</v>
      </c>
      <c r="E513" s="509">
        <v>0.03</v>
      </c>
      <c r="F513" s="509">
        <v>0.03</v>
      </c>
      <c r="G513" s="509">
        <v>0.03</v>
      </c>
      <c r="H513" s="509">
        <v>0.03</v>
      </c>
      <c r="I513" s="509">
        <f>'Cálculos SJ'!B31</f>
        <v>0.03</v>
      </c>
      <c r="J513" s="508"/>
    </row>
    <row r="514" spans="1:10" ht="21" customHeight="1">
      <c r="A514" s="507" t="s">
        <v>714</v>
      </c>
      <c r="B514" s="508" t="s">
        <v>718</v>
      </c>
      <c r="C514" s="508" t="s">
        <v>411</v>
      </c>
      <c r="D514" s="509">
        <f>$D$509</f>
        <v>1269731</v>
      </c>
      <c r="E514" s="509">
        <f>$E$509</f>
        <v>2293641.42</v>
      </c>
      <c r="F514" s="509">
        <f>$F$509</f>
        <v>1776309.36</v>
      </c>
      <c r="G514" s="509">
        <f>$G$509</f>
        <v>3445860.18</v>
      </c>
      <c r="H514" s="509">
        <f>$H$509</f>
        <v>2858005.5</v>
      </c>
      <c r="I514" s="509">
        <f>$I$509</f>
        <v>1213454.76</v>
      </c>
      <c r="J514" s="508"/>
    </row>
    <row r="515" spans="1:10" ht="21" customHeight="1">
      <c r="A515" s="507" t="s">
        <v>714</v>
      </c>
      <c r="B515" s="508" t="s">
        <v>719</v>
      </c>
      <c r="C515" s="508" t="s">
        <v>397</v>
      </c>
      <c r="D515" s="509">
        <v>0.15</v>
      </c>
      <c r="E515" s="509">
        <v>0.15</v>
      </c>
      <c r="F515" s="509">
        <v>0.15</v>
      </c>
      <c r="G515" s="509">
        <v>0.15</v>
      </c>
      <c r="H515" s="509">
        <v>0.15</v>
      </c>
      <c r="I515" s="509">
        <f>'Cálculos SJ'!H31</f>
        <v>0.15</v>
      </c>
      <c r="J515" s="508"/>
    </row>
    <row r="516" spans="1:10" ht="21" customHeight="1">
      <c r="A516" s="507" t="s">
        <v>714</v>
      </c>
      <c r="B516" s="508" t="s">
        <v>720</v>
      </c>
      <c r="C516" s="508" t="s">
        <v>397</v>
      </c>
      <c r="D516" s="509">
        <v>2000</v>
      </c>
      <c r="E516" s="509">
        <v>2000</v>
      </c>
      <c r="F516" s="509">
        <v>2000</v>
      </c>
      <c r="G516" s="509">
        <v>2000</v>
      </c>
      <c r="H516" s="509">
        <v>2000</v>
      </c>
      <c r="I516" s="509">
        <f>'Cálculos SJ'!F32</f>
        <v>2000</v>
      </c>
      <c r="J516" s="508"/>
    </row>
    <row r="517" spans="1:10" ht="21" customHeight="1">
      <c r="A517" s="507" t="s">
        <v>714</v>
      </c>
      <c r="B517" s="508" t="s">
        <v>721</v>
      </c>
      <c r="C517" s="508" t="s">
        <v>411</v>
      </c>
      <c r="D517" s="509">
        <f>(($D$513*$D$514*$D$515)/$D$516)</f>
        <v>2.8568947499999999</v>
      </c>
      <c r="E517" s="509">
        <f>(($E$513*$E$514*$E$515)/$E$516)</f>
        <v>5.1606931949999995</v>
      </c>
      <c r="F517" s="509">
        <f>(($F$513*$F$514*$F$515)/$F$516)</f>
        <v>3.9966960599999997</v>
      </c>
      <c r="G517" s="509">
        <f>(($G$513*$G$514*$G$515)/$G$516)</f>
        <v>7.7531854049999991</v>
      </c>
      <c r="H517" s="509">
        <f>(($H$513*$H$514*$H$515)/$H$516)</f>
        <v>6.4305123749999993</v>
      </c>
      <c r="I517" s="509">
        <f>(($I$513*$I$514*$I$515)/$I$516)</f>
        <v>2.73027321</v>
      </c>
      <c r="J517" s="508"/>
    </row>
    <row r="518" spans="1:10" ht="21" customHeight="1">
      <c r="A518" s="507" t="s">
        <v>714</v>
      </c>
      <c r="B518" s="508" t="s">
        <v>575</v>
      </c>
      <c r="C518" s="508" t="s">
        <v>397</v>
      </c>
      <c r="D518" s="509">
        <v>4.0500000000000001E-2</v>
      </c>
      <c r="E518" s="509">
        <v>4.0500000000000001E-2</v>
      </c>
      <c r="F518" s="509">
        <v>4.0500000000000001E-2</v>
      </c>
      <c r="G518" s="509">
        <v>4.0500000000000001E-2</v>
      </c>
      <c r="H518" s="509">
        <v>4.0500000000000001E-2</v>
      </c>
      <c r="I518" s="509">
        <f>'Cálculos SJ'!B40</f>
        <v>4.0500000000000001E-2</v>
      </c>
      <c r="J518" s="508"/>
    </row>
    <row r="519" spans="1:10" ht="21" customHeight="1">
      <c r="A519" s="507" t="s">
        <v>714</v>
      </c>
      <c r="B519" s="508" t="s">
        <v>722</v>
      </c>
      <c r="C519" s="508" t="s">
        <v>411</v>
      </c>
      <c r="D519" s="509">
        <f>$D$514</f>
        <v>1269731</v>
      </c>
      <c r="E519" s="509">
        <f>$E$514</f>
        <v>2293641.42</v>
      </c>
      <c r="F519" s="509">
        <f>$F$514</f>
        <v>1776309.36</v>
      </c>
      <c r="G519" s="509">
        <f>$G$514</f>
        <v>3445860.18</v>
      </c>
      <c r="H519" s="509">
        <f>$H$514</f>
        <v>2858005.5</v>
      </c>
      <c r="I519" s="509">
        <f>$I$514</f>
        <v>1213454.76</v>
      </c>
      <c r="J519" s="508"/>
    </row>
    <row r="520" spans="1:10" ht="21" customHeight="1">
      <c r="A520" s="507" t="s">
        <v>714</v>
      </c>
      <c r="B520" s="508" t="s">
        <v>723</v>
      </c>
      <c r="C520" s="508" t="s">
        <v>397</v>
      </c>
      <c r="D520" s="509">
        <v>0.15</v>
      </c>
      <c r="E520" s="509">
        <v>0.15</v>
      </c>
      <c r="F520" s="509">
        <v>0.15</v>
      </c>
      <c r="G520" s="509">
        <v>0.15</v>
      </c>
      <c r="H520" s="509">
        <v>0.15</v>
      </c>
      <c r="I520" s="509">
        <f>'Cálculos SJ'!H40</f>
        <v>0.15</v>
      </c>
      <c r="J520" s="508"/>
    </row>
    <row r="521" spans="1:10" ht="21" customHeight="1">
      <c r="A521" s="507" t="s">
        <v>714</v>
      </c>
      <c r="B521" s="508" t="s">
        <v>724</v>
      </c>
      <c r="C521" s="508" t="s">
        <v>397</v>
      </c>
      <c r="D521" s="509">
        <v>2000</v>
      </c>
      <c r="E521" s="509">
        <v>2000</v>
      </c>
      <c r="F521" s="509">
        <v>2000</v>
      </c>
      <c r="G521" s="509">
        <v>2000</v>
      </c>
      <c r="H521" s="509">
        <v>2000</v>
      </c>
      <c r="I521" s="509">
        <f>'Cálculos SJ'!F41</f>
        <v>2000</v>
      </c>
      <c r="J521" s="508"/>
    </row>
    <row r="522" spans="1:10" ht="21" customHeight="1">
      <c r="A522" s="507" t="s">
        <v>714</v>
      </c>
      <c r="B522" s="508" t="s">
        <v>519</v>
      </c>
      <c r="C522" s="508" t="s">
        <v>411</v>
      </c>
      <c r="D522" s="509">
        <f>(($D$518*$D$519*$D$520)/$D$521)</f>
        <v>3.8568079125000003</v>
      </c>
      <c r="E522" s="509">
        <f>(($E$518*$E$519*$E$520)/$E$521)</f>
        <v>6.9669358132499992</v>
      </c>
      <c r="F522" s="509">
        <f>(($F$518*$F$519*$F$520)/$F$521)</f>
        <v>5.3955396809999998</v>
      </c>
      <c r="G522" s="509">
        <f>(($G$518*$G$519*$G$520)/$G$521)</f>
        <v>10.466800296750002</v>
      </c>
      <c r="H522" s="509">
        <f>(($H$518*$H$519*$H$520)/$H$521)</f>
        <v>8.681191706249999</v>
      </c>
      <c r="I522" s="509">
        <f>(($I$518*$I$519*$I$520)/$I$521)</f>
        <v>3.6858688335000003</v>
      </c>
      <c r="J522" s="508"/>
    </row>
    <row r="523" spans="1:10" ht="21" customHeight="1">
      <c r="A523" s="507" t="s">
        <v>714</v>
      </c>
      <c r="B523" s="508" t="s">
        <v>725</v>
      </c>
      <c r="C523" s="508" t="s">
        <v>411</v>
      </c>
      <c r="D523" s="509">
        <f>(157+5.7)*$D$507</f>
        <v>76.468999999999994</v>
      </c>
      <c r="E523" s="509">
        <f>(157+5.7)*$E$507</f>
        <v>76.468999999999994</v>
      </c>
      <c r="F523" s="509">
        <f>(157+5.7)*$F$507</f>
        <v>68.333999999999989</v>
      </c>
      <c r="G523" s="509">
        <f>(157+5.7)*$G$507</f>
        <v>74.841999999999999</v>
      </c>
      <c r="H523" s="509">
        <f>(157+5.7)*$H$507</f>
        <v>78.095999999999989</v>
      </c>
      <c r="I523" s="509">
        <f>(157+5.7)*$I$507</f>
        <v>78.095999999999989</v>
      </c>
      <c r="J523" s="508"/>
    </row>
    <row r="524" spans="1:10" ht="21" customHeight="1">
      <c r="A524" s="507" t="s">
        <v>714</v>
      </c>
      <c r="B524" s="508" t="s">
        <v>726</v>
      </c>
      <c r="C524" s="508" t="s">
        <v>411</v>
      </c>
      <c r="D524" s="509">
        <f>$D$519</f>
        <v>1269731</v>
      </c>
      <c r="E524" s="509">
        <f>$E$519</f>
        <v>2293641.42</v>
      </c>
      <c r="F524" s="509">
        <f>$F$519</f>
        <v>1776309.36</v>
      </c>
      <c r="G524" s="509">
        <f>$G$519</f>
        <v>3445860.18</v>
      </c>
      <c r="H524" s="509">
        <f>$H$519</f>
        <v>2858005.5</v>
      </c>
      <c r="I524" s="509">
        <f>$I$519</f>
        <v>1213454.76</v>
      </c>
      <c r="J524" s="508"/>
    </row>
    <row r="525" spans="1:10" ht="21" customHeight="1">
      <c r="A525" s="507" t="s">
        <v>714</v>
      </c>
      <c r="B525" s="508" t="s">
        <v>727</v>
      </c>
      <c r="C525" s="508" t="s">
        <v>397</v>
      </c>
      <c r="D525" s="509">
        <v>1000</v>
      </c>
      <c r="E525" s="509">
        <v>1000</v>
      </c>
      <c r="F525" s="509">
        <v>1000</v>
      </c>
      <c r="G525" s="509">
        <v>1000</v>
      </c>
      <c r="H525" s="509">
        <v>1000</v>
      </c>
      <c r="I525" s="509">
        <f>'Cálculos SJ'!B49</f>
        <v>1000</v>
      </c>
      <c r="J525" s="508"/>
    </row>
    <row r="526" spans="1:10" ht="21" customHeight="1">
      <c r="A526" s="507" t="s">
        <v>714</v>
      </c>
      <c r="B526" s="508" t="s">
        <v>728</v>
      </c>
      <c r="C526" s="508" t="s">
        <v>397</v>
      </c>
      <c r="D526" s="509">
        <v>2000</v>
      </c>
      <c r="E526" s="509">
        <v>2000</v>
      </c>
      <c r="F526" s="509">
        <v>2000</v>
      </c>
      <c r="G526" s="509">
        <v>2000</v>
      </c>
      <c r="H526" s="509">
        <v>2000</v>
      </c>
      <c r="I526" s="509">
        <f>'Cálculos SJ'!F49</f>
        <v>2000</v>
      </c>
      <c r="J526" s="508"/>
    </row>
    <row r="527" spans="1:10" ht="21" customHeight="1">
      <c r="A527" s="507" t="s">
        <v>714</v>
      </c>
      <c r="B527" s="508" t="s">
        <v>576</v>
      </c>
      <c r="C527" s="508" t="s">
        <v>411</v>
      </c>
      <c r="D527" s="509">
        <f>(($D$523/$D$525*$D$524)/$D$526)</f>
        <v>48.547529919500001</v>
      </c>
      <c r="E527" s="509">
        <f>(($E$523/$E$525*$E$524)/$E$526)</f>
        <v>87.696232872989995</v>
      </c>
      <c r="F527" s="509">
        <f>(($F$523/$F$525*$F$524)/$F$526)</f>
        <v>60.691161903119998</v>
      </c>
      <c r="G527" s="509">
        <f>(($G$523/$G$525*$G$524)/$G$526)</f>
        <v>128.94753379578</v>
      </c>
      <c r="H527" s="509">
        <f>(($H$523/$H$525*$H$524)/$H$526)</f>
        <v>111.59939876399999</v>
      </c>
      <c r="I527" s="509">
        <f>(($I$523/$I$525*$I$524)/$I$526)</f>
        <v>47.38298146847999</v>
      </c>
      <c r="J527" s="508"/>
    </row>
    <row r="528" spans="1:10" ht="21" customHeight="1">
      <c r="A528" s="507" t="s">
        <v>714</v>
      </c>
      <c r="B528" s="508" t="s">
        <v>729</v>
      </c>
      <c r="C528" s="508" t="s">
        <v>397</v>
      </c>
      <c r="D528" s="509">
        <v>47</v>
      </c>
      <c r="E528" s="509">
        <v>47</v>
      </c>
      <c r="F528" s="509">
        <v>47</v>
      </c>
      <c r="G528" s="509">
        <v>47</v>
      </c>
      <c r="H528" s="509">
        <v>47</v>
      </c>
      <c r="I528" s="509">
        <f>'Cálculos SJ'!B57</f>
        <v>47</v>
      </c>
      <c r="J528" s="508"/>
    </row>
    <row r="529" spans="1:10" ht="21" customHeight="1">
      <c r="A529" s="507" t="s">
        <v>714</v>
      </c>
      <c r="B529" s="508" t="s">
        <v>730</v>
      </c>
      <c r="C529" s="508" t="s">
        <v>411</v>
      </c>
      <c r="D529" s="509">
        <f>$D$505</f>
        <v>0</v>
      </c>
      <c r="E529" s="509">
        <f>$E$505</f>
        <v>0</v>
      </c>
      <c r="F529" s="509">
        <f>$F$505</f>
        <v>0</v>
      </c>
      <c r="G529" s="509">
        <f>$G$505</f>
        <v>0</v>
      </c>
      <c r="H529" s="509">
        <f>$H$505</f>
        <v>0</v>
      </c>
      <c r="I529" s="509">
        <f>$I$505</f>
        <v>17615.22</v>
      </c>
      <c r="J529" s="508"/>
    </row>
    <row r="530" spans="1:10" ht="21" customHeight="1">
      <c r="A530" s="507" t="s">
        <v>714</v>
      </c>
      <c r="B530" s="508" t="s">
        <v>731</v>
      </c>
      <c r="C530" s="508" t="s">
        <v>397</v>
      </c>
      <c r="D530" s="509">
        <v>1000</v>
      </c>
      <c r="E530" s="509">
        <v>1000</v>
      </c>
      <c r="F530" s="509">
        <v>1000</v>
      </c>
      <c r="G530" s="509">
        <v>1000</v>
      </c>
      <c r="H530" s="509">
        <v>1000</v>
      </c>
      <c r="I530" s="509">
        <f>'Cálculos SJ'!B58</f>
        <v>1000</v>
      </c>
      <c r="J530" s="508"/>
    </row>
    <row r="531" spans="1:10" ht="21" customHeight="1">
      <c r="A531" s="507" t="s">
        <v>714</v>
      </c>
      <c r="B531" s="508" t="s">
        <v>732</v>
      </c>
      <c r="C531" s="508" t="s">
        <v>397</v>
      </c>
      <c r="D531" s="509">
        <v>2000</v>
      </c>
      <c r="E531" s="509">
        <v>2000</v>
      </c>
      <c r="F531" s="509">
        <v>2000</v>
      </c>
      <c r="G531" s="509">
        <v>2000</v>
      </c>
      <c r="H531" s="509">
        <v>2000</v>
      </c>
      <c r="I531" s="509">
        <f>'Cálculos SJ'!F58</f>
        <v>2000</v>
      </c>
      <c r="J531" s="508"/>
    </row>
    <row r="532" spans="1:10" ht="21" customHeight="1">
      <c r="A532" s="507" t="s">
        <v>714</v>
      </c>
      <c r="B532" s="508" t="s">
        <v>733</v>
      </c>
      <c r="C532" s="508" t="s">
        <v>411</v>
      </c>
      <c r="D532" s="509">
        <f>(($D$528/$D$530)*$D$529)/$D$531</f>
        <v>0</v>
      </c>
      <c r="E532" s="509">
        <f>(($E$528/$E$530)*$E$529)/$E$531</f>
        <v>0</v>
      </c>
      <c r="F532" s="509">
        <f>(($F$528/$F$530)*$F$529)/$F$531</f>
        <v>0</v>
      </c>
      <c r="G532" s="509">
        <f>(($G$528/$G$530)*$G$529)/$G$531</f>
        <v>0</v>
      </c>
      <c r="H532" s="509">
        <f>(($H$528/$H$530)*$H$529)/$H$531</f>
        <v>0</v>
      </c>
      <c r="I532" s="509">
        <f>(($I$528/$I$530)*$I$529)/$I$531</f>
        <v>0.41395767</v>
      </c>
      <c r="J532" s="508"/>
    </row>
    <row r="533" spans="1:10" ht="21" customHeight="1">
      <c r="A533" s="507" t="s">
        <v>714</v>
      </c>
      <c r="B533" s="508" t="s">
        <v>647</v>
      </c>
      <c r="C533" s="508" t="s">
        <v>397</v>
      </c>
      <c r="D533" s="509">
        <v>32</v>
      </c>
      <c r="E533" s="509">
        <v>32</v>
      </c>
      <c r="F533" s="509">
        <v>32</v>
      </c>
      <c r="G533" s="509">
        <v>32</v>
      </c>
      <c r="H533" s="509">
        <v>32</v>
      </c>
      <c r="I533" s="509">
        <f>'Cálculos SJ'!B65</f>
        <v>32</v>
      </c>
      <c r="J533" s="508"/>
    </row>
    <row r="534" spans="1:10" ht="21" customHeight="1">
      <c r="A534" s="507" t="s">
        <v>714</v>
      </c>
      <c r="B534" s="508" t="s">
        <v>734</v>
      </c>
      <c r="C534" s="508" t="s">
        <v>411</v>
      </c>
      <c r="D534" s="509">
        <f>$D$506</f>
        <v>1269731</v>
      </c>
      <c r="E534" s="509">
        <f>$E$506</f>
        <v>2293641.42</v>
      </c>
      <c r="F534" s="509">
        <f>$F$506</f>
        <v>1776309.36</v>
      </c>
      <c r="G534" s="509">
        <f>$G$506</f>
        <v>3445860.18</v>
      </c>
      <c r="H534" s="509">
        <f>$H$506</f>
        <v>2858005.5</v>
      </c>
      <c r="I534" s="509">
        <f>$I$506</f>
        <v>1195839.54</v>
      </c>
      <c r="J534" s="508"/>
    </row>
    <row r="535" spans="1:10" ht="21" customHeight="1">
      <c r="A535" s="507" t="s">
        <v>714</v>
      </c>
      <c r="B535" s="508" t="s">
        <v>585</v>
      </c>
      <c r="C535" s="508" t="s">
        <v>397</v>
      </c>
      <c r="D535" s="509">
        <v>1000</v>
      </c>
      <c r="E535" s="509">
        <v>1000</v>
      </c>
      <c r="F535" s="509">
        <v>1000</v>
      </c>
      <c r="G535" s="509">
        <v>1000</v>
      </c>
      <c r="H535" s="509">
        <v>1000</v>
      </c>
      <c r="I535" s="509">
        <f>'Cálculos SJ'!B66</f>
        <v>1000</v>
      </c>
      <c r="J535" s="508"/>
    </row>
    <row r="536" spans="1:10" ht="21" customHeight="1">
      <c r="A536" s="507" t="s">
        <v>714</v>
      </c>
      <c r="B536" s="508" t="s">
        <v>735</v>
      </c>
      <c r="C536" s="508" t="s">
        <v>397</v>
      </c>
      <c r="D536" s="509">
        <v>2000</v>
      </c>
      <c r="E536" s="509">
        <v>2000</v>
      </c>
      <c r="F536" s="509">
        <v>2000</v>
      </c>
      <c r="G536" s="509">
        <v>2000</v>
      </c>
      <c r="H536" s="509">
        <v>2000</v>
      </c>
      <c r="I536" s="509">
        <f>'Cálculos SJ'!F66</f>
        <v>2000</v>
      </c>
      <c r="J536" s="508"/>
    </row>
    <row r="537" spans="1:10" ht="21" customHeight="1">
      <c r="A537" s="507" t="s">
        <v>714</v>
      </c>
      <c r="B537" s="508" t="s">
        <v>648</v>
      </c>
      <c r="C537" s="508" t="s">
        <v>411</v>
      </c>
      <c r="D537" s="509">
        <f>(($D$533/$D$535)*$D$534)/$D$536</f>
        <v>20.315695999999999</v>
      </c>
      <c r="E537" s="509">
        <f>(($E$533/$E$535)*$E$534)/$E$536</f>
        <v>36.698262719999995</v>
      </c>
      <c r="F537" s="509">
        <f>(($F$533/$F$535)*$F$534)/$F$536</f>
        <v>28.420949760000003</v>
      </c>
      <c r="G537" s="509">
        <f>(($G$533/$G$535)*$G$534)/$G$536</f>
        <v>55.133762879999999</v>
      </c>
      <c r="H537" s="509">
        <f>(($H$533/$H$535)*$H$534)/$H$536</f>
        <v>45.728088000000007</v>
      </c>
      <c r="I537" s="509">
        <f>(($I$533/$I$535)*$I$534)/$I$536</f>
        <v>19.133432640000002</v>
      </c>
      <c r="J537" s="508"/>
    </row>
    <row r="538" spans="1:10" ht="21" customHeight="1">
      <c r="A538" s="507" t="s">
        <v>714</v>
      </c>
      <c r="B538" s="508" t="s">
        <v>736</v>
      </c>
      <c r="C538" s="508" t="s">
        <v>397</v>
      </c>
      <c r="D538" s="509">
        <v>0.76</v>
      </c>
      <c r="E538" s="509">
        <v>0.76</v>
      </c>
      <c r="F538" s="509">
        <v>0.76</v>
      </c>
      <c r="G538" s="509">
        <v>0.76</v>
      </c>
      <c r="H538" s="509">
        <v>0.76</v>
      </c>
      <c r="I538" s="509">
        <f>'Cálculos SJ'!B73</f>
        <v>0.76</v>
      </c>
      <c r="J538" s="508"/>
    </row>
    <row r="539" spans="1:10" ht="21" customHeight="1">
      <c r="A539" s="507" t="s">
        <v>714</v>
      </c>
      <c r="B539" s="508" t="s">
        <v>737</v>
      </c>
      <c r="C539" s="508" t="s">
        <v>411</v>
      </c>
      <c r="D539" s="509">
        <f>$D$524</f>
        <v>1269731</v>
      </c>
      <c r="E539" s="509">
        <f>$E$524</f>
        <v>2293641.42</v>
      </c>
      <c r="F539" s="509">
        <f>$F$524</f>
        <v>1776309.36</v>
      </c>
      <c r="G539" s="509">
        <f>$G$524</f>
        <v>3445860.18</v>
      </c>
      <c r="H539" s="509">
        <f>$H$524</f>
        <v>2858005.5</v>
      </c>
      <c r="I539" s="509">
        <f>$I$524</f>
        <v>1213454.76</v>
      </c>
      <c r="J539" s="508"/>
    </row>
    <row r="540" spans="1:10" ht="21" customHeight="1">
      <c r="A540" s="507" t="s">
        <v>714</v>
      </c>
      <c r="B540" s="508" t="s">
        <v>654</v>
      </c>
      <c r="C540" s="508" t="s">
        <v>397</v>
      </c>
      <c r="D540" s="509">
        <v>1000</v>
      </c>
      <c r="E540" s="509">
        <v>1000</v>
      </c>
      <c r="F540" s="509">
        <v>1000</v>
      </c>
      <c r="G540" s="509">
        <v>1000</v>
      </c>
      <c r="H540" s="509">
        <v>1000</v>
      </c>
      <c r="I540" s="509">
        <f>'Cálculos SJ'!B74</f>
        <v>1000</v>
      </c>
      <c r="J540" s="508"/>
    </row>
    <row r="541" spans="1:10" ht="21" customHeight="1">
      <c r="A541" s="507" t="s">
        <v>714</v>
      </c>
      <c r="B541" s="508" t="s">
        <v>738</v>
      </c>
      <c r="C541" s="508" t="s">
        <v>397</v>
      </c>
      <c r="D541" s="509">
        <v>2000</v>
      </c>
      <c r="E541" s="509">
        <v>2000</v>
      </c>
      <c r="F541" s="509">
        <v>2000</v>
      </c>
      <c r="G541" s="509">
        <v>2000</v>
      </c>
      <c r="H541" s="509">
        <v>2000</v>
      </c>
      <c r="I541" s="509">
        <f>'Cálculos SJ'!F74</f>
        <v>2000</v>
      </c>
      <c r="J541" s="508"/>
    </row>
    <row r="542" spans="1:10" ht="21" customHeight="1">
      <c r="A542" s="507" t="s">
        <v>714</v>
      </c>
      <c r="B542" s="508" t="s">
        <v>739</v>
      </c>
      <c r="C542" s="508" t="s">
        <v>411</v>
      </c>
      <c r="D542" s="509">
        <f>(($D$538/$D$540)*$D$539)/$D$541</f>
        <v>0.48249778000000004</v>
      </c>
      <c r="E542" s="509">
        <f>(($E$538/$E$540)*$E$539)/$E$541</f>
        <v>0.87158373960000002</v>
      </c>
      <c r="F542" s="509">
        <f>(($F$538/$F$540)*$F$539)/$F$541</f>
        <v>0.67499755680000006</v>
      </c>
      <c r="G542" s="509">
        <f>(($G$538/$G$540)*$G$539)/$G$541</f>
        <v>1.3094268684000001</v>
      </c>
      <c r="H542" s="509">
        <f>(($H$538/$H$540)*$H$539)/$H$541</f>
        <v>1.0860420900000001</v>
      </c>
      <c r="I542" s="509">
        <f>(($I$538/$I$540)*$I$539)/$I$541</f>
        <v>0.46111280880000005</v>
      </c>
      <c r="J542" s="508"/>
    </row>
    <row r="543" spans="1:10" ht="21" customHeight="1">
      <c r="A543" s="507" t="s">
        <v>714</v>
      </c>
      <c r="B543" s="508" t="s">
        <v>740</v>
      </c>
      <c r="C543" s="508" t="s">
        <v>397</v>
      </c>
      <c r="D543" s="509">
        <v>5</v>
      </c>
      <c r="E543" s="509">
        <v>5</v>
      </c>
      <c r="F543" s="509">
        <v>5</v>
      </c>
      <c r="G543" s="509">
        <v>5</v>
      </c>
      <c r="H543" s="509">
        <v>5</v>
      </c>
      <c r="I543" s="509">
        <f>'Cálculos SJ'!B81</f>
        <v>5</v>
      </c>
      <c r="J543" s="508"/>
    </row>
    <row r="544" spans="1:10" ht="21" customHeight="1">
      <c r="A544" s="507" t="s">
        <v>714</v>
      </c>
      <c r="B544" s="508" t="s">
        <v>741</v>
      </c>
      <c r="C544" s="508" t="s">
        <v>411</v>
      </c>
      <c r="D544" s="509">
        <f>$D$539</f>
        <v>1269731</v>
      </c>
      <c r="E544" s="509">
        <f>$E$539</f>
        <v>2293641.42</v>
      </c>
      <c r="F544" s="509">
        <f>$F$539</f>
        <v>1776309.36</v>
      </c>
      <c r="G544" s="509">
        <f>$G$539</f>
        <v>3445860.18</v>
      </c>
      <c r="H544" s="509">
        <f>$H$539</f>
        <v>2858005.5</v>
      </c>
      <c r="I544" s="509">
        <f>$I$539</f>
        <v>1213454.76</v>
      </c>
      <c r="J544" s="508"/>
    </row>
    <row r="545" spans="1:10" ht="21" customHeight="1">
      <c r="A545" s="507" t="s">
        <v>714</v>
      </c>
      <c r="B545" s="508" t="s">
        <v>742</v>
      </c>
      <c r="C545" s="508" t="s">
        <v>397</v>
      </c>
      <c r="D545" s="509">
        <v>1000</v>
      </c>
      <c r="E545" s="509">
        <v>1000</v>
      </c>
      <c r="F545" s="509">
        <v>1000</v>
      </c>
      <c r="G545" s="509">
        <v>1000</v>
      </c>
      <c r="H545" s="509">
        <v>1000</v>
      </c>
      <c r="I545" s="509">
        <f>'Cálculos SJ'!B82</f>
        <v>1000</v>
      </c>
      <c r="J545" s="508"/>
    </row>
    <row r="546" spans="1:10" ht="21" customHeight="1">
      <c r="A546" s="507" t="s">
        <v>714</v>
      </c>
      <c r="B546" s="508" t="s">
        <v>743</v>
      </c>
      <c r="C546" s="508" t="s">
        <v>397</v>
      </c>
      <c r="D546" s="509">
        <v>2000</v>
      </c>
      <c r="E546" s="509">
        <v>2000</v>
      </c>
      <c r="F546" s="509">
        <v>2000</v>
      </c>
      <c r="G546" s="509">
        <v>2000</v>
      </c>
      <c r="H546" s="509">
        <v>2000</v>
      </c>
      <c r="I546" s="509">
        <f>'Cálculos SJ'!F82</f>
        <v>2000</v>
      </c>
      <c r="J546" s="508"/>
    </row>
    <row r="547" spans="1:10" ht="21" customHeight="1">
      <c r="A547" s="507" t="s">
        <v>714</v>
      </c>
      <c r="B547" s="508" t="s">
        <v>744</v>
      </c>
      <c r="C547" s="508" t="s">
        <v>411</v>
      </c>
      <c r="D547" s="509">
        <f>(($D$543/$D$545)*$D$544)/$D$546</f>
        <v>3.1743275</v>
      </c>
      <c r="E547" s="509">
        <f>(($E$543/$E$545)*$E$544)/$E$546</f>
        <v>5.7341035499999995</v>
      </c>
      <c r="F547" s="509">
        <f>(($F$543/$F$545)*$F$544)/$F$546</f>
        <v>4.4407734000000003</v>
      </c>
      <c r="G547" s="509">
        <f>(($G$543/$G$545)*$G$544)/$G$546</f>
        <v>8.614650450000001</v>
      </c>
      <c r="H547" s="509">
        <f>(($H$543/$H$545)*$H$544)/$H$546</f>
        <v>7.1450137500000004</v>
      </c>
      <c r="I547" s="509">
        <f>(($I$543/$I$545)*$I$544)/$I$546</f>
        <v>3.0336368999999999</v>
      </c>
      <c r="J547" s="508"/>
    </row>
    <row r="548" spans="1:10" ht="21" customHeight="1">
      <c r="A548" s="507" t="s">
        <v>714</v>
      </c>
      <c r="B548" s="508" t="s">
        <v>745</v>
      </c>
      <c r="C548" s="508" t="s">
        <v>397</v>
      </c>
      <c r="D548" s="509">
        <v>1.5100000000000001E-3</v>
      </c>
      <c r="E548" s="509">
        <v>1.5100000000000001E-3</v>
      </c>
      <c r="F548" s="509">
        <v>1.5100000000000001E-3</v>
      </c>
      <c r="G548" s="509">
        <v>1.5100000000000001E-3</v>
      </c>
      <c r="H548" s="509">
        <v>1.5100000000000001E-3</v>
      </c>
      <c r="I548" s="509">
        <f>'Cálculos SJ'!B89</f>
        <v>1.5100000000000001E-3</v>
      </c>
      <c r="J548" s="508"/>
    </row>
    <row r="549" spans="1:10" ht="21" customHeight="1">
      <c r="A549" s="507" t="s">
        <v>714</v>
      </c>
      <c r="B549" s="508" t="s">
        <v>746</v>
      </c>
      <c r="C549" s="508" t="s">
        <v>411</v>
      </c>
      <c r="D549" s="509">
        <f>$D$544</f>
        <v>1269731</v>
      </c>
      <c r="E549" s="509">
        <f>$E$544</f>
        <v>2293641.42</v>
      </c>
      <c r="F549" s="509">
        <f>$F$544</f>
        <v>1776309.36</v>
      </c>
      <c r="G549" s="509">
        <f>$G$544</f>
        <v>3445860.18</v>
      </c>
      <c r="H549" s="509">
        <f>$H$544</f>
        <v>2858005.5</v>
      </c>
      <c r="I549" s="509">
        <f>$I$544</f>
        <v>1213454.76</v>
      </c>
      <c r="J549" s="508"/>
    </row>
    <row r="550" spans="1:10" ht="21" customHeight="1">
      <c r="A550" s="507" t="s">
        <v>714</v>
      </c>
      <c r="B550" s="508" t="s">
        <v>747</v>
      </c>
      <c r="C550" s="508" t="s">
        <v>397</v>
      </c>
      <c r="D550" s="509">
        <v>1000</v>
      </c>
      <c r="E550" s="509">
        <v>1000</v>
      </c>
      <c r="F550" s="509">
        <v>1000</v>
      </c>
      <c r="G550" s="509">
        <v>1000</v>
      </c>
      <c r="H550" s="509">
        <v>1000</v>
      </c>
      <c r="I550" s="509">
        <f>'Cálculos SJ'!B90</f>
        <v>1000</v>
      </c>
      <c r="J550" s="508"/>
    </row>
    <row r="551" spans="1:10" ht="21" customHeight="1">
      <c r="A551" s="507" t="s">
        <v>714</v>
      </c>
      <c r="B551" s="508" t="s">
        <v>748</v>
      </c>
      <c r="C551" s="508" t="s">
        <v>397</v>
      </c>
      <c r="D551" s="509">
        <v>2000</v>
      </c>
      <c r="E551" s="509">
        <v>2000</v>
      </c>
      <c r="F551" s="509">
        <v>2000</v>
      </c>
      <c r="G551" s="509">
        <v>2000</v>
      </c>
      <c r="H551" s="509">
        <v>2000</v>
      </c>
      <c r="I551" s="509">
        <f>'Cálculos SJ'!F90</f>
        <v>2000</v>
      </c>
      <c r="J551" s="508"/>
    </row>
    <row r="552" spans="1:10" ht="21" customHeight="1">
      <c r="A552" s="507" t="s">
        <v>714</v>
      </c>
      <c r="B552" s="508" t="s">
        <v>749</v>
      </c>
      <c r="C552" s="508" t="s">
        <v>411</v>
      </c>
      <c r="D552" s="509">
        <f>(($D$548/$D$550)*$D$549)/$D$551</f>
        <v>9.5864690500000003E-4</v>
      </c>
      <c r="E552" s="509">
        <f>(($E$548/$E$550)*$E$549)/$E$551</f>
        <v>1.7316992721000003E-3</v>
      </c>
      <c r="F552" s="509">
        <f>(($F$548/$F$550)*$F$549)/$F$551</f>
        <v>1.3411135668000003E-3</v>
      </c>
      <c r="G552" s="509">
        <f>(($G$548/$G$550)*$G$549)/$G$551</f>
        <v>2.6016244359000004E-3</v>
      </c>
      <c r="H552" s="509">
        <f>(($H$548/$H$550)*$H$549)/$H$551</f>
        <v>2.1577941525000002E-3</v>
      </c>
      <c r="I552" s="509">
        <f>(($I$548/$I$550)*$I$549)/$I$551</f>
        <v>9.161583438E-4</v>
      </c>
      <c r="J552" s="508"/>
    </row>
    <row r="553" spans="1:10" ht="21" customHeight="1">
      <c r="A553" s="507" t="s">
        <v>714</v>
      </c>
      <c r="B553" s="508" t="s">
        <v>750</v>
      </c>
      <c r="C553" s="508" t="s">
        <v>411</v>
      </c>
      <c r="D553" s="509">
        <f>$D$504</f>
        <v>24.891205852956581</v>
      </c>
      <c r="E553" s="509">
        <f>$E$504</f>
        <v>24.891205852956581</v>
      </c>
      <c r="F553" s="509">
        <f>$F$504</f>
        <v>24.891205852956581</v>
      </c>
      <c r="G553" s="509">
        <f>$G$504</f>
        <v>24.891205852956581</v>
      </c>
      <c r="H553" s="509">
        <f>$H$504</f>
        <v>24.891205852956581</v>
      </c>
      <c r="I553" s="509">
        <f>$I$504</f>
        <v>24.891205852956599</v>
      </c>
      <c r="J553" s="508"/>
    </row>
    <row r="554" spans="1:10" ht="21" customHeight="1">
      <c r="A554" s="507" t="s">
        <v>714</v>
      </c>
      <c r="B554" s="508" t="s">
        <v>751</v>
      </c>
      <c r="C554" s="508" t="s">
        <v>411</v>
      </c>
      <c r="D554" s="509">
        <f>$D$549</f>
        <v>1269731</v>
      </c>
      <c r="E554" s="509">
        <f>$E$549</f>
        <v>2293641.42</v>
      </c>
      <c r="F554" s="509">
        <f>$F$549</f>
        <v>1776309.36</v>
      </c>
      <c r="G554" s="509">
        <f>$G$549</f>
        <v>3445860.18</v>
      </c>
      <c r="H554" s="509">
        <f>$H$549</f>
        <v>2858005.5</v>
      </c>
      <c r="I554" s="509">
        <f>$I$549</f>
        <v>1213454.76</v>
      </c>
      <c r="J554" s="508"/>
    </row>
    <row r="555" spans="1:10" ht="21" customHeight="1">
      <c r="A555" s="507" t="s">
        <v>714</v>
      </c>
      <c r="B555" s="508" t="s">
        <v>752</v>
      </c>
      <c r="C555" s="508" t="s">
        <v>397</v>
      </c>
      <c r="D555" s="509">
        <v>2000</v>
      </c>
      <c r="E555" s="509">
        <v>2000</v>
      </c>
      <c r="F555" s="509">
        <v>2000</v>
      </c>
      <c r="G555" s="509">
        <v>2000</v>
      </c>
      <c r="H555" s="509">
        <v>2000</v>
      </c>
      <c r="I555" s="509">
        <f>'Cálculos SJ'!F99</f>
        <v>2000</v>
      </c>
      <c r="J555" s="508"/>
    </row>
    <row r="556" spans="1:10" ht="21" customHeight="1">
      <c r="A556" s="507" t="s">
        <v>714</v>
      </c>
      <c r="B556" s="508" t="s">
        <v>753</v>
      </c>
      <c r="C556" s="508" t="s">
        <v>411</v>
      </c>
      <c r="D556" s="509">
        <f>$D$553*$D$554/$D$555</f>
        <v>15802.567849440205</v>
      </c>
      <c r="E556" s="509">
        <f>$E$553*$E$554/$E$555</f>
        <v>28545.750369043821</v>
      </c>
      <c r="F556" s="509">
        <f>$F$553*$F$554/$F$555</f>
        <v>22107.24096914678</v>
      </c>
      <c r="G556" s="509">
        <f>$G$553*$G$554/$G$555</f>
        <v>42885.807540443013</v>
      </c>
      <c r="H556" s="509">
        <f>$H$553*$H$554/$H$555</f>
        <v>35569.601614691048</v>
      </c>
      <c r="I556" s="509">
        <f>$I$553*$I$554/$I$555</f>
        <v>15102.176112205023</v>
      </c>
      <c r="J556" s="508"/>
    </row>
    <row r="557" spans="1:10" ht="21" customHeight="1">
      <c r="A557" s="510" t="s">
        <v>754</v>
      </c>
      <c r="B557" s="506"/>
      <c r="C557" s="506"/>
      <c r="D557" s="511"/>
      <c r="E557" s="511"/>
      <c r="F557" s="511"/>
      <c r="G557" s="511"/>
      <c r="H557" s="511"/>
      <c r="I557" s="512"/>
      <c r="J557" s="506"/>
    </row>
    <row r="558" spans="1:10" ht="21" customHeight="1">
      <c r="A558" s="507" t="s">
        <v>754</v>
      </c>
      <c r="B558" s="508" t="s">
        <v>592</v>
      </c>
      <c r="C558" s="508" t="s">
        <v>397</v>
      </c>
      <c r="D558" s="509">
        <v>9.2099392372881395E-2</v>
      </c>
      <c r="E558" s="509">
        <v>9.2099392372881395E-2</v>
      </c>
      <c r="F558" s="509">
        <v>9.2099392372881395E-2</v>
      </c>
      <c r="G558" s="509">
        <v>9.2099392372881395E-2</v>
      </c>
      <c r="H558" s="509">
        <v>9.2099392372881395E-2</v>
      </c>
      <c r="I558" s="509">
        <f>'Cálculos SJ5'!B4</f>
        <v>9.2099392372881395E-2</v>
      </c>
      <c r="J558" s="508" t="s">
        <v>14</v>
      </c>
    </row>
    <row r="559" spans="1:10" ht="21" customHeight="1">
      <c r="A559" s="507" t="s">
        <v>754</v>
      </c>
      <c r="B559" s="508" t="s">
        <v>593</v>
      </c>
      <c r="C559" s="508" t="s">
        <v>397</v>
      </c>
      <c r="D559" s="509">
        <v>0.108058493511864</v>
      </c>
      <c r="E559" s="509">
        <v>0.108058493511864</v>
      </c>
      <c r="F559" s="509">
        <v>0.108058493511864</v>
      </c>
      <c r="G559" s="509">
        <v>0.108058493511864</v>
      </c>
      <c r="H559" s="509">
        <v>0.108058493511864</v>
      </c>
      <c r="I559" s="509">
        <f>'Cálculos SJ5'!C4</f>
        <v>0.108058493511864</v>
      </c>
      <c r="J559" s="508" t="s">
        <v>14</v>
      </c>
    </row>
    <row r="560" spans="1:10" ht="21" customHeight="1">
      <c r="A560" s="507" t="s">
        <v>754</v>
      </c>
      <c r="B560" s="508" t="s">
        <v>396</v>
      </c>
      <c r="C560" s="508" t="s">
        <v>397</v>
      </c>
      <c r="D560" s="509">
        <v>2.2429676537803301E-2</v>
      </c>
      <c r="E560" s="509">
        <v>2.2429676537803301E-2</v>
      </c>
      <c r="F560" s="509">
        <v>2.2429676537803301E-2</v>
      </c>
      <c r="G560" s="509">
        <v>2.2429676537803301E-2</v>
      </c>
      <c r="H560" s="509">
        <v>2.2429676537803301E-2</v>
      </c>
      <c r="I560" s="509">
        <f>'Cálculos SJ5'!B5</f>
        <v>2.2429676537803301E-2</v>
      </c>
      <c r="J560" s="508" t="s">
        <v>15</v>
      </c>
    </row>
    <row r="561" spans="1:10" ht="21" customHeight="1">
      <c r="A561" s="507" t="s">
        <v>754</v>
      </c>
      <c r="B561" s="508" t="s">
        <v>399</v>
      </c>
      <c r="C561" s="508" t="s">
        <v>397</v>
      </c>
      <c r="D561" s="509">
        <v>9.4426363060370194E-3</v>
      </c>
      <c r="E561" s="509">
        <v>9.4426363060370194E-3</v>
      </c>
      <c r="F561" s="509">
        <v>9.4426363060370194E-3</v>
      </c>
      <c r="G561" s="509">
        <v>9.4426363060370194E-3</v>
      </c>
      <c r="H561" s="509">
        <v>9.4426363060370194E-3</v>
      </c>
      <c r="I561" s="509">
        <f>'Cálculos SJ5'!C5</f>
        <v>9.4426363060370194E-3</v>
      </c>
      <c r="J561" s="508" t="s">
        <v>15</v>
      </c>
    </row>
    <row r="562" spans="1:10" ht="21" customHeight="1">
      <c r="A562" s="507" t="s">
        <v>754</v>
      </c>
      <c r="B562" s="508" t="s">
        <v>407</v>
      </c>
      <c r="C562" s="508" t="s">
        <v>397</v>
      </c>
      <c r="D562" s="509">
        <v>2.0999999999999999E-3</v>
      </c>
      <c r="E562" s="509">
        <v>2.0999999999999999E-3</v>
      </c>
      <c r="F562" s="509">
        <v>2.0999999999999999E-3</v>
      </c>
      <c r="G562" s="509">
        <v>2.0999999999999999E-3</v>
      </c>
      <c r="H562" s="509">
        <v>2.0999999999999999E-3</v>
      </c>
      <c r="I562" s="509">
        <f>'Cálculos SJ5'!B6</f>
        <v>2.0999999999999999E-3</v>
      </c>
      <c r="J562" s="508" t="s">
        <v>16</v>
      </c>
    </row>
    <row r="563" spans="1:10" ht="21" customHeight="1">
      <c r="A563" s="507" t="s">
        <v>754</v>
      </c>
      <c r="B563" s="508" t="s">
        <v>409</v>
      </c>
      <c r="C563" s="508" t="s">
        <v>397</v>
      </c>
      <c r="D563" s="509">
        <v>8.3000000000000001E-3</v>
      </c>
      <c r="E563" s="509">
        <v>8.3000000000000001E-3</v>
      </c>
      <c r="F563" s="509">
        <v>8.3000000000000001E-3</v>
      </c>
      <c r="G563" s="509">
        <v>8.3000000000000001E-3</v>
      </c>
      <c r="H563" s="509">
        <v>8.3000000000000001E-3</v>
      </c>
      <c r="I563" s="509">
        <f>'Cálculos SJ5'!C6</f>
        <v>8.3000000000000001E-3</v>
      </c>
      <c r="J563" s="508" t="s">
        <v>16</v>
      </c>
    </row>
    <row r="564" spans="1:10" ht="21" customHeight="1">
      <c r="A564" s="507" t="s">
        <v>754</v>
      </c>
      <c r="B564" s="508" t="s">
        <v>420</v>
      </c>
      <c r="C564" s="508" t="s">
        <v>397</v>
      </c>
      <c r="D564" s="509">
        <v>6.6E-3</v>
      </c>
      <c r="E564" s="509">
        <v>6.6E-3</v>
      </c>
      <c r="F564" s="509">
        <v>6.6E-3</v>
      </c>
      <c r="G564" s="509">
        <v>6.6E-3</v>
      </c>
      <c r="H564" s="509">
        <v>6.6E-3</v>
      </c>
      <c r="I564" s="509">
        <f>'Cálculos SJ5'!B7</f>
        <v>6.6E-3</v>
      </c>
      <c r="J564" s="508" t="s">
        <v>11</v>
      </c>
    </row>
    <row r="565" spans="1:10" ht="21" customHeight="1">
      <c r="A565" s="507" t="s">
        <v>754</v>
      </c>
      <c r="B565" s="508" t="s">
        <v>422</v>
      </c>
      <c r="C565" s="508" t="s">
        <v>397</v>
      </c>
      <c r="D565" s="509">
        <v>2.8400000000000002E-2</v>
      </c>
      <c r="E565" s="509">
        <v>2.8400000000000002E-2</v>
      </c>
      <c r="F565" s="509">
        <v>2.8400000000000002E-2</v>
      </c>
      <c r="G565" s="509">
        <v>2.8400000000000002E-2</v>
      </c>
      <c r="H565" s="509">
        <v>2.8400000000000002E-2</v>
      </c>
      <c r="I565" s="509">
        <f>'Cálculos SJ5'!C7</f>
        <v>2.8400000000000002E-2</v>
      </c>
      <c r="J565" s="508" t="s">
        <v>11</v>
      </c>
    </row>
    <row r="566" spans="1:10" ht="21" customHeight="1">
      <c r="A566" s="507" t="s">
        <v>754</v>
      </c>
      <c r="B566" s="508" t="s">
        <v>431</v>
      </c>
      <c r="C566" s="508" t="s">
        <v>397</v>
      </c>
      <c r="D566" s="509">
        <v>6.6E-3</v>
      </c>
      <c r="E566" s="509">
        <v>6.6E-3</v>
      </c>
      <c r="F566" s="509">
        <v>6.6E-3</v>
      </c>
      <c r="G566" s="509">
        <v>6.6E-3</v>
      </c>
      <c r="H566" s="509">
        <v>6.6E-3</v>
      </c>
      <c r="I566" s="509">
        <f>'Cálculos SJ5'!B8</f>
        <v>6.6E-3</v>
      </c>
      <c r="J566" s="508" t="s">
        <v>12</v>
      </c>
    </row>
    <row r="567" spans="1:10" ht="21" customHeight="1">
      <c r="A567" s="507" t="s">
        <v>754</v>
      </c>
      <c r="B567" s="508" t="s">
        <v>433</v>
      </c>
      <c r="C567" s="508" t="s">
        <v>397</v>
      </c>
      <c r="D567" s="509">
        <v>3.5700000000000003E-2</v>
      </c>
      <c r="E567" s="509">
        <v>3.5700000000000003E-2</v>
      </c>
      <c r="F567" s="509">
        <v>3.5700000000000003E-2</v>
      </c>
      <c r="G567" s="509">
        <v>3.5700000000000003E-2</v>
      </c>
      <c r="H567" s="509">
        <v>3.5700000000000003E-2</v>
      </c>
      <c r="I567" s="509">
        <f>'Cálculos SJ5'!C8</f>
        <v>3.5700000000000003E-2</v>
      </c>
      <c r="J567" s="508" t="s">
        <v>12</v>
      </c>
    </row>
    <row r="568" spans="1:10" ht="21" customHeight="1">
      <c r="A568" s="507" t="s">
        <v>754</v>
      </c>
      <c r="B568" s="508" t="s">
        <v>440</v>
      </c>
      <c r="C568" s="508" t="s">
        <v>397</v>
      </c>
      <c r="D568" s="509">
        <v>6.6E-3</v>
      </c>
      <c r="E568" s="509">
        <v>6.6E-3</v>
      </c>
      <c r="F568" s="509">
        <v>6.6E-3</v>
      </c>
      <c r="G568" s="509">
        <v>6.6E-3</v>
      </c>
      <c r="H568" s="509">
        <v>6.6E-3</v>
      </c>
      <c r="I568" s="509">
        <f>'Cálculos SJ5'!B9</f>
        <v>6.6E-3</v>
      </c>
      <c r="J568" s="508" t="s">
        <v>34</v>
      </c>
    </row>
    <row r="569" spans="1:10" ht="21" customHeight="1">
      <c r="A569" s="507" t="s">
        <v>754</v>
      </c>
      <c r="B569" s="508" t="s">
        <v>442</v>
      </c>
      <c r="C569" s="508" t="s">
        <v>397</v>
      </c>
      <c r="D569" s="509">
        <v>3.5700000000000003E-2</v>
      </c>
      <c r="E569" s="509">
        <v>3.5700000000000003E-2</v>
      </c>
      <c r="F569" s="509">
        <v>3.5700000000000003E-2</v>
      </c>
      <c r="G569" s="509">
        <v>3.5700000000000003E-2</v>
      </c>
      <c r="H569" s="509">
        <v>3.5700000000000003E-2</v>
      </c>
      <c r="I569" s="509">
        <f>'Cálculos SJ5'!C9</f>
        <v>3.5700000000000003E-2</v>
      </c>
      <c r="J569" s="508" t="s">
        <v>34</v>
      </c>
    </row>
    <row r="570" spans="1:10" ht="21" customHeight="1">
      <c r="A570" s="507" t="s">
        <v>754</v>
      </c>
      <c r="B570" s="508" t="s">
        <v>443</v>
      </c>
      <c r="C570" s="508" t="s">
        <v>411</v>
      </c>
      <c r="D570" s="509">
        <f>$D$623</f>
        <v>3.9165420978327603</v>
      </c>
      <c r="E570" s="509">
        <f>$E$623</f>
        <v>4.0736943080575205</v>
      </c>
      <c r="F570" s="509">
        <f>$F$623</f>
        <v>6.4796504369050796</v>
      </c>
      <c r="G570" s="509">
        <f>$G$623</f>
        <v>6.4350811373486403</v>
      </c>
      <c r="H570" s="509">
        <f>$H$623</f>
        <v>6.9364439971362009</v>
      </c>
      <c r="I570" s="509">
        <f>$I$623</f>
        <v>4.3290025488394202</v>
      </c>
      <c r="J570" s="508" t="s">
        <v>34</v>
      </c>
    </row>
    <row r="571" spans="1:10" ht="21" customHeight="1">
      <c r="A571" s="507" t="s">
        <v>754</v>
      </c>
      <c r="B571" s="508" t="s">
        <v>450</v>
      </c>
      <c r="C571" s="508" t="s">
        <v>397</v>
      </c>
      <c r="D571" s="509">
        <v>2.8E-3</v>
      </c>
      <c r="E571" s="509">
        <v>2.8E-3</v>
      </c>
      <c r="F571" s="509">
        <v>2.8E-3</v>
      </c>
      <c r="G571" s="509">
        <v>2.8E-3</v>
      </c>
      <c r="H571" s="509">
        <v>2.8E-3</v>
      </c>
      <c r="I571" s="509">
        <f>'Cálculos SJ5'!B10</f>
        <v>2.8E-3</v>
      </c>
      <c r="J571" s="508" t="s">
        <v>13</v>
      </c>
    </row>
    <row r="572" spans="1:10" ht="21" customHeight="1">
      <c r="A572" s="507" t="s">
        <v>754</v>
      </c>
      <c r="B572" s="508" t="s">
        <v>459</v>
      </c>
      <c r="C572" s="508" t="s">
        <v>397</v>
      </c>
      <c r="D572" s="509">
        <v>4.2999999999999999E-4</v>
      </c>
      <c r="E572" s="509">
        <v>4.2999999999999999E-4</v>
      </c>
      <c r="F572" s="509">
        <v>4.2999999999999999E-4</v>
      </c>
      <c r="G572" s="509">
        <v>4.2999999999999999E-4</v>
      </c>
      <c r="H572" s="509">
        <v>4.2999999999999999E-4</v>
      </c>
      <c r="I572" s="509">
        <f>'Cálculos SJ5'!B11</f>
        <v>4.2999999999999999E-4</v>
      </c>
      <c r="J572" s="508" t="s">
        <v>36</v>
      </c>
    </row>
    <row r="573" spans="1:10" ht="21" customHeight="1">
      <c r="A573" s="507" t="s">
        <v>754</v>
      </c>
      <c r="B573" s="508" t="s">
        <v>461</v>
      </c>
      <c r="C573" s="508" t="s">
        <v>397</v>
      </c>
      <c r="D573" s="509">
        <v>7.7000000000000002E-3</v>
      </c>
      <c r="E573" s="509">
        <v>7.7000000000000002E-3</v>
      </c>
      <c r="F573" s="509">
        <v>7.7000000000000002E-3</v>
      </c>
      <c r="G573" s="509">
        <v>7.7000000000000002E-3</v>
      </c>
      <c r="H573" s="509">
        <v>7.7000000000000002E-3</v>
      </c>
      <c r="I573" s="509">
        <f>'Cálculos SJ5'!C11</f>
        <v>7.7000000000000002E-3</v>
      </c>
      <c r="J573" s="508" t="s">
        <v>36</v>
      </c>
    </row>
    <row r="574" spans="1:10" ht="21" customHeight="1">
      <c r="A574" s="507" t="s">
        <v>754</v>
      </c>
      <c r="B574" s="508" t="s">
        <v>755</v>
      </c>
      <c r="C574" s="508" t="s">
        <v>411</v>
      </c>
      <c r="D574" s="509">
        <f>$D$637</f>
        <v>0.34449324939349807</v>
      </c>
      <c r="E574" s="509">
        <f>$E$637</f>
        <v>0.40796548947069605</v>
      </c>
      <c r="F574" s="509">
        <f>$F$637</f>
        <v>1.040557175405934</v>
      </c>
      <c r="G574" s="509">
        <f>$G$637</f>
        <v>0.95709692878657215</v>
      </c>
      <c r="H574" s="509">
        <f>$H$637</f>
        <v>1.05734472979281</v>
      </c>
      <c r="I574" s="509">
        <f>$I$637</f>
        <v>0.45234667524674105</v>
      </c>
      <c r="J574" s="508" t="s">
        <v>36</v>
      </c>
    </row>
    <row r="575" spans="1:10" ht="21" customHeight="1">
      <c r="A575" s="507" t="s">
        <v>754</v>
      </c>
      <c r="B575" s="508" t="s">
        <v>594</v>
      </c>
      <c r="C575" s="508" t="s">
        <v>411</v>
      </c>
      <c r="D575" s="509">
        <f>(73.96+0.003*25+0.0006*298)*2.2046*0.138</f>
        <v>22.578420600240001</v>
      </c>
      <c r="E575" s="509">
        <f>(73.96+0.003*25+0.0006*298)*2.2046*0.138</f>
        <v>22.578420600240001</v>
      </c>
      <c r="F575" s="509">
        <f>(73.96+0.003*25+0.0006*298)*2.2046*0.138</f>
        <v>22.578420600240001</v>
      </c>
      <c r="G575" s="509">
        <f>(73.96+0.003*25+0.0006*298)*2.2046*0.138</f>
        <v>22.578420600240001</v>
      </c>
      <c r="H575" s="509">
        <f>(73.96+0.003*25+0.0006*298)*2.2046*0.138</f>
        <v>22.578420600240001</v>
      </c>
      <c r="I575" s="509">
        <f>(73.96+0.003*25+0.0006*298)*2.2046*0.138</f>
        <v>22.578420600240001</v>
      </c>
      <c r="J575" s="508" t="s">
        <v>36</v>
      </c>
    </row>
    <row r="576" spans="1:10" ht="21" customHeight="1">
      <c r="A576" s="507" t="s">
        <v>754</v>
      </c>
      <c r="B576" s="508" t="s">
        <v>464</v>
      </c>
      <c r="C576" s="508" t="s">
        <v>397</v>
      </c>
      <c r="D576" s="509">
        <v>0</v>
      </c>
      <c r="E576" s="509">
        <v>0</v>
      </c>
      <c r="F576" s="509">
        <v>0</v>
      </c>
      <c r="G576" s="509">
        <v>0</v>
      </c>
      <c r="H576" s="509">
        <v>0</v>
      </c>
      <c r="I576" s="509">
        <f>'Cálculos SJ5'!B12</f>
        <v>0</v>
      </c>
      <c r="J576" s="508" t="s">
        <v>17</v>
      </c>
    </row>
    <row r="577" spans="1:10" ht="21" customHeight="1">
      <c r="A577" s="507" t="s">
        <v>754</v>
      </c>
      <c r="B577" s="508" t="s">
        <v>466</v>
      </c>
      <c r="C577" s="508" t="s">
        <v>397</v>
      </c>
      <c r="D577" s="509">
        <v>9.0000000000000002E-6</v>
      </c>
      <c r="E577" s="509">
        <v>9.0000000000000002E-6</v>
      </c>
      <c r="F577" s="509">
        <v>9.0000000000000002E-6</v>
      </c>
      <c r="G577" s="509">
        <v>9.0000000000000002E-6</v>
      </c>
      <c r="H577" s="509">
        <v>9.0000000000000002E-6</v>
      </c>
      <c r="I577" s="509">
        <f>'Cálculos SJ5'!C12</f>
        <v>9.0000000000000002E-6</v>
      </c>
      <c r="J577" s="508" t="s">
        <v>17</v>
      </c>
    </row>
    <row r="578" spans="1:10" ht="21" customHeight="1">
      <c r="A578" s="507" t="s">
        <v>754</v>
      </c>
      <c r="B578" s="508" t="s">
        <v>595</v>
      </c>
      <c r="C578" s="508" t="s">
        <v>411</v>
      </c>
      <c r="D578" s="509">
        <f>(475409.8+224+267)*2204.62/8707340462.38</f>
        <v>0.12049378638965323</v>
      </c>
      <c r="E578" s="509">
        <f>(475409.8+224+267)*2204.62/8707340462.38</f>
        <v>0.12049378638965323</v>
      </c>
      <c r="F578" s="509">
        <f>(475409.8+224+267)*2204.62/8707340462.38</f>
        <v>0.12049378638965323</v>
      </c>
      <c r="G578" s="509">
        <f>(475409.8+224+267)*2204.62/8707340462.38</f>
        <v>0.12049378638965323</v>
      </c>
      <c r="H578" s="509">
        <f>(475409.8+224+267)*2204.62/8707340462.38</f>
        <v>0.12049378638965323</v>
      </c>
      <c r="I578" s="509">
        <f>(475409.8+224+267)*2204.62/8707340462.38</f>
        <v>0.12049378638965323</v>
      </c>
      <c r="J578" s="508" t="s">
        <v>17</v>
      </c>
    </row>
    <row r="579" spans="1:10" ht="21" customHeight="1">
      <c r="A579" s="507" t="s">
        <v>754</v>
      </c>
      <c r="B579" s="508" t="s">
        <v>484</v>
      </c>
      <c r="C579" s="508" t="s">
        <v>411</v>
      </c>
      <c r="D579" s="509">
        <f>$D$461</f>
        <v>240889</v>
      </c>
      <c r="E579" s="509">
        <f>$E$467</f>
        <v>384448.26</v>
      </c>
      <c r="F579" s="509">
        <f>$F$475</f>
        <v>1667685.18</v>
      </c>
      <c r="G579" s="509">
        <f>$G$481</f>
        <v>1450441.86</v>
      </c>
      <c r="H579" s="509">
        <f>$H$489</f>
        <v>1632699.18</v>
      </c>
      <c r="I579" s="509">
        <f>$I$497</f>
        <v>459277.14</v>
      </c>
      <c r="J579" s="508" t="s">
        <v>756</v>
      </c>
    </row>
    <row r="580" spans="1:10" ht="21" customHeight="1">
      <c r="A580" s="507" t="s">
        <v>754</v>
      </c>
      <c r="B580" s="508" t="s">
        <v>489</v>
      </c>
      <c r="C580" s="508" t="s">
        <v>411</v>
      </c>
      <c r="D580" s="509">
        <f>$D$463</f>
        <v>987272793.86000001</v>
      </c>
      <c r="E580" s="509">
        <f>$E$471</f>
        <v>928901636.72000003</v>
      </c>
      <c r="F580" s="509">
        <f>$F$479</f>
        <v>704587502.38</v>
      </c>
      <c r="G580" s="509">
        <f>$G$485</f>
        <v>850329086.03999996</v>
      </c>
      <c r="H580" s="509">
        <f>$H$493</f>
        <v>865899021.70000005</v>
      </c>
      <c r="I580" s="509">
        <f>$I$501</f>
        <v>949989652.37</v>
      </c>
      <c r="J580" s="508" t="s">
        <v>597</v>
      </c>
    </row>
    <row r="581" spans="1:10" ht="21" customHeight="1">
      <c r="A581" s="507" t="s">
        <v>754</v>
      </c>
      <c r="B581" s="508" t="s">
        <v>564</v>
      </c>
      <c r="C581" s="508" t="s">
        <v>716</v>
      </c>
      <c r="D581" s="509">
        <v>0.01</v>
      </c>
      <c r="E581" s="509">
        <f>$E$469</f>
        <v>7.3999999999999999E-4</v>
      </c>
      <c r="F581" s="509">
        <f>$F$477</f>
        <v>5.9999999999999995E-4</v>
      </c>
      <c r="G581" s="509">
        <f>$G$483</f>
        <v>1E-3</v>
      </c>
      <c r="H581" s="509">
        <f>$H$491</f>
        <v>6.6E-4</v>
      </c>
      <c r="I581" s="509">
        <f>$I$499</f>
        <v>6.9999999999999999E-4</v>
      </c>
      <c r="J581" s="508" t="s">
        <v>206</v>
      </c>
    </row>
    <row r="582" spans="1:10" ht="21" customHeight="1">
      <c r="A582" s="507" t="s">
        <v>754</v>
      </c>
      <c r="B582" s="508" t="s">
        <v>598</v>
      </c>
      <c r="C582" s="508" t="s">
        <v>411</v>
      </c>
      <c r="D582" s="509">
        <f>$D$579</f>
        <v>240889</v>
      </c>
      <c r="E582" s="509">
        <f>$E$579</f>
        <v>384448.26</v>
      </c>
      <c r="F582" s="509">
        <f>$F$579</f>
        <v>1667685.18</v>
      </c>
      <c r="G582" s="509">
        <f>$G$579</f>
        <v>1450441.86</v>
      </c>
      <c r="H582" s="509">
        <f>$H$579</f>
        <v>1632699.18</v>
      </c>
      <c r="I582" s="509">
        <f>$I$579</f>
        <v>459277.14</v>
      </c>
      <c r="J582" s="508" t="s">
        <v>132</v>
      </c>
    </row>
    <row r="583" spans="1:10" ht="21" customHeight="1">
      <c r="A583" s="507" t="s">
        <v>754</v>
      </c>
      <c r="B583" s="508" t="s">
        <v>599</v>
      </c>
      <c r="C583" s="508" t="s">
        <v>397</v>
      </c>
      <c r="D583" s="509">
        <v>0.13800000000000001</v>
      </c>
      <c r="E583" s="509">
        <v>0.13800000000000001</v>
      </c>
      <c r="F583" s="509">
        <v>0.13800000000000001</v>
      </c>
      <c r="G583" s="509">
        <v>0.13800000000000001</v>
      </c>
      <c r="H583" s="509">
        <v>0.13800000000000001</v>
      </c>
      <c r="I583" s="509">
        <f>'Cálculos SJ5'!E20</f>
        <v>0.13800000000000001</v>
      </c>
      <c r="J583" s="508" t="s">
        <v>132</v>
      </c>
    </row>
    <row r="584" spans="1:10" ht="21" customHeight="1">
      <c r="A584" s="507" t="s">
        <v>754</v>
      </c>
      <c r="B584" s="508" t="s">
        <v>600</v>
      </c>
      <c r="C584" s="508" t="s">
        <v>411</v>
      </c>
      <c r="D584" s="509">
        <f>$D$559</f>
        <v>0.108058493511864</v>
      </c>
      <c r="E584" s="509">
        <f>$E$559</f>
        <v>0.108058493511864</v>
      </c>
      <c r="F584" s="509">
        <f>$F$559</f>
        <v>0.108058493511864</v>
      </c>
      <c r="G584" s="509">
        <f>$G$559</f>
        <v>0.108058493511864</v>
      </c>
      <c r="H584" s="509">
        <f>$H$559</f>
        <v>0.108058493511864</v>
      </c>
      <c r="I584" s="509">
        <f>$I$559</f>
        <v>0.108058493511864</v>
      </c>
      <c r="J584" s="508" t="s">
        <v>132</v>
      </c>
    </row>
    <row r="585" spans="1:10" ht="21" customHeight="1">
      <c r="A585" s="507" t="s">
        <v>754</v>
      </c>
      <c r="B585" s="508" t="s">
        <v>601</v>
      </c>
      <c r="C585" s="508" t="s">
        <v>411</v>
      </c>
      <c r="D585" s="509">
        <f>$D$580</f>
        <v>987272793.86000001</v>
      </c>
      <c r="E585" s="509">
        <f>$E$580</f>
        <v>928901636.72000003</v>
      </c>
      <c r="F585" s="509">
        <f>$F$580</f>
        <v>704587502.38</v>
      </c>
      <c r="G585" s="509">
        <f>$G$580</f>
        <v>850329086.03999996</v>
      </c>
      <c r="H585" s="509">
        <f>$H$580</f>
        <v>865899021.70000005</v>
      </c>
      <c r="I585" s="509">
        <f>$I$580</f>
        <v>949989652.37</v>
      </c>
      <c r="J585" s="508" t="s">
        <v>132</v>
      </c>
    </row>
    <row r="586" spans="1:10" ht="21" customHeight="1">
      <c r="A586" s="507" t="s">
        <v>754</v>
      </c>
      <c r="B586" s="508" t="s">
        <v>602</v>
      </c>
      <c r="C586" s="508" t="s">
        <v>397</v>
      </c>
      <c r="D586" s="509">
        <v>1020</v>
      </c>
      <c r="E586" s="509">
        <v>1020</v>
      </c>
      <c r="F586" s="509">
        <v>1020</v>
      </c>
      <c r="G586" s="509">
        <v>1020</v>
      </c>
      <c r="H586" s="509">
        <v>1020</v>
      </c>
      <c r="I586" s="509">
        <f>'Cálculos SJ5'!O20</f>
        <v>1020</v>
      </c>
      <c r="J586" s="508" t="s">
        <v>132</v>
      </c>
    </row>
    <row r="587" spans="1:10" ht="21" customHeight="1">
      <c r="A587" s="507" t="s">
        <v>754</v>
      </c>
      <c r="B587" s="508" t="s">
        <v>603</v>
      </c>
      <c r="C587" s="508" t="s">
        <v>411</v>
      </c>
      <c r="D587" s="509">
        <f>$D$558</f>
        <v>9.2099392372881395E-2</v>
      </c>
      <c r="E587" s="509">
        <f>$E$558</f>
        <v>9.2099392372881395E-2</v>
      </c>
      <c r="F587" s="509">
        <f>$F$558</f>
        <v>9.2099392372881395E-2</v>
      </c>
      <c r="G587" s="509">
        <f>$G$558</f>
        <v>9.2099392372881395E-2</v>
      </c>
      <c r="H587" s="509">
        <f>$H$558</f>
        <v>9.2099392372881395E-2</v>
      </c>
      <c r="I587" s="509">
        <f>$I$558</f>
        <v>9.2099392372881395E-2</v>
      </c>
      <c r="J587" s="508" t="s">
        <v>132</v>
      </c>
    </row>
    <row r="588" spans="1:10" ht="21" customHeight="1">
      <c r="A588" s="507" t="s">
        <v>754</v>
      </c>
      <c r="B588" s="508" t="s">
        <v>604</v>
      </c>
      <c r="C588" s="508" t="s">
        <v>411</v>
      </c>
      <c r="D588" s="509">
        <f>($D$582*$D$583*$D$584+$D$585*$D$586*$D$587/1000000)/2000</f>
        <v>48.168961523206306</v>
      </c>
      <c r="E588" s="509">
        <f>($E$582*$E$583*$E$584+$E$585*$E$586*$E$587/1000000)/2000</f>
        <v>46.497611008015532</v>
      </c>
      <c r="F588" s="509">
        <f>($F$582*$F$583*$F$584+$F$585*$F$586*$F$587/1000000)/2000</f>
        <v>45.529282055786766</v>
      </c>
      <c r="G588" s="509">
        <f>($G$582*$G$583*$G$584+$G$585*$G$586*$G$587/1000000)/2000</f>
        <v>50.75509079200058</v>
      </c>
      <c r="H588" s="509">
        <f>($H$582*$H$583*$H$584+$H$585*$H$586*$H$587/1000000)/2000</f>
        <v>52.845338563640688</v>
      </c>
      <c r="I588" s="509">
        <f>($I$582*$I$583*$I$584+$I$585*$I$586*$I$587/1000000)/2000</f>
        <v>48.046056483184714</v>
      </c>
      <c r="J588" s="508"/>
    </row>
    <row r="589" spans="1:10" ht="21" customHeight="1">
      <c r="A589" s="507" t="s">
        <v>754</v>
      </c>
      <c r="B589" s="508" t="s">
        <v>501</v>
      </c>
      <c r="C589" s="508" t="s">
        <v>411</v>
      </c>
      <c r="D589" s="509">
        <f>$D$579</f>
        <v>240889</v>
      </c>
      <c r="E589" s="509">
        <f>$E$579</f>
        <v>384448.26</v>
      </c>
      <c r="F589" s="509">
        <f>$F$579</f>
        <v>1667685.18</v>
      </c>
      <c r="G589" s="509">
        <f>$G$579</f>
        <v>1450441.86</v>
      </c>
      <c r="H589" s="509">
        <f>$H$579</f>
        <v>1632699.18</v>
      </c>
      <c r="I589" s="509">
        <f>$I$579</f>
        <v>459277.14</v>
      </c>
      <c r="J589" s="508" t="s">
        <v>144</v>
      </c>
    </row>
    <row r="590" spans="1:10" ht="21" customHeight="1">
      <c r="A590" s="507" t="s">
        <v>754</v>
      </c>
      <c r="B590" s="508" t="s">
        <v>504</v>
      </c>
      <c r="C590" s="508" t="s">
        <v>397</v>
      </c>
      <c r="D590" s="509">
        <v>0.13800000000000001</v>
      </c>
      <c r="E590" s="509">
        <v>0.13800000000000001</v>
      </c>
      <c r="F590" s="509">
        <v>0.13800000000000001</v>
      </c>
      <c r="G590" s="509">
        <v>0.13800000000000001</v>
      </c>
      <c r="H590" s="509">
        <v>0.13800000000000001</v>
      </c>
      <c r="I590" s="509">
        <f>'Cálculos SJ5'!E26</f>
        <v>0.13800000000000001</v>
      </c>
      <c r="J590" s="508" t="s">
        <v>144</v>
      </c>
    </row>
    <row r="591" spans="1:10" ht="21" customHeight="1">
      <c r="A591" s="507" t="s">
        <v>754</v>
      </c>
      <c r="B591" s="508" t="s">
        <v>605</v>
      </c>
      <c r="C591" s="508" t="s">
        <v>411</v>
      </c>
      <c r="D591" s="509">
        <f>$D$561</f>
        <v>9.4426363060370194E-3</v>
      </c>
      <c r="E591" s="509">
        <f>$E$561</f>
        <v>9.4426363060370194E-3</v>
      </c>
      <c r="F591" s="509">
        <f>$F$561</f>
        <v>9.4426363060370194E-3</v>
      </c>
      <c r="G591" s="509">
        <f>$G$561</f>
        <v>9.4426363060370194E-3</v>
      </c>
      <c r="H591" s="509">
        <f>$H$561</f>
        <v>9.4426363060370194E-3</v>
      </c>
      <c r="I591" s="509">
        <f>$I$561</f>
        <v>9.4426363060370194E-3</v>
      </c>
      <c r="J591" s="508" t="s">
        <v>144</v>
      </c>
    </row>
    <row r="592" spans="1:10" ht="21" customHeight="1">
      <c r="A592" s="507" t="s">
        <v>754</v>
      </c>
      <c r="B592" s="508" t="s">
        <v>606</v>
      </c>
      <c r="C592" s="508" t="s">
        <v>411</v>
      </c>
      <c r="D592" s="509">
        <f>$D$580</f>
        <v>987272793.86000001</v>
      </c>
      <c r="E592" s="509">
        <f>$E$580</f>
        <v>928901636.72000003</v>
      </c>
      <c r="F592" s="509">
        <f>$F$580</f>
        <v>704587502.38</v>
      </c>
      <c r="G592" s="509">
        <f>$G$580</f>
        <v>850329086.03999996</v>
      </c>
      <c r="H592" s="509">
        <f>$H$580</f>
        <v>865899021.70000005</v>
      </c>
      <c r="I592" s="509">
        <f>$I$580</f>
        <v>949989652.37</v>
      </c>
      <c r="J592" s="508" t="s">
        <v>144</v>
      </c>
    </row>
    <row r="593" spans="1:10" ht="21" customHeight="1">
      <c r="A593" s="507" t="s">
        <v>754</v>
      </c>
      <c r="B593" s="508" t="s">
        <v>607</v>
      </c>
      <c r="C593" s="508" t="s">
        <v>397</v>
      </c>
      <c r="D593" s="509">
        <v>1020</v>
      </c>
      <c r="E593" s="509">
        <v>1020</v>
      </c>
      <c r="F593" s="509">
        <v>1020</v>
      </c>
      <c r="G593" s="509">
        <v>1020</v>
      </c>
      <c r="H593" s="509">
        <v>1020</v>
      </c>
      <c r="I593" s="509">
        <f>'Cálculos SJ5'!O26</f>
        <v>1020</v>
      </c>
      <c r="J593" s="508" t="s">
        <v>144</v>
      </c>
    </row>
    <row r="594" spans="1:10" ht="21" customHeight="1">
      <c r="A594" s="507" t="s">
        <v>754</v>
      </c>
      <c r="B594" s="508" t="s">
        <v>608</v>
      </c>
      <c r="C594" s="508" t="s">
        <v>411</v>
      </c>
      <c r="D594" s="509">
        <f>$D$560</f>
        <v>2.2429676537803301E-2</v>
      </c>
      <c r="E594" s="509">
        <f>$E$560</f>
        <v>2.2429676537803301E-2</v>
      </c>
      <c r="F594" s="509">
        <f>$F$560</f>
        <v>2.2429676537803301E-2</v>
      </c>
      <c r="G594" s="509">
        <f>$G$560</f>
        <v>2.2429676537803301E-2</v>
      </c>
      <c r="H594" s="509">
        <f>$H$560</f>
        <v>2.2429676537803301E-2</v>
      </c>
      <c r="I594" s="509">
        <f>$I$560</f>
        <v>2.2429676537803301E-2</v>
      </c>
      <c r="J594" s="508" t="s">
        <v>144</v>
      </c>
    </row>
    <row r="595" spans="1:10" ht="21" customHeight="1">
      <c r="A595" s="507" t="s">
        <v>754</v>
      </c>
      <c r="B595" s="508" t="s">
        <v>513</v>
      </c>
      <c r="C595" s="508" t="s">
        <v>411</v>
      </c>
      <c r="D595" s="509">
        <f>($D$589*$D$590*$D$591+$D$592*$D$593*$D$594/1000000)/2000</f>
        <v>11.450496082616732</v>
      </c>
      <c r="E595" s="509">
        <f>($E$589*$E$590*$E$591+$E$592*$E$593*$E$594/1000000)/2000</f>
        <v>10.876315407742638</v>
      </c>
      <c r="F595" s="509">
        <f>($F$589*$F$590*$F$591+$F$592*$F$593*$F$594/1000000)/2000</f>
        <v>9.1464383625025221</v>
      </c>
      <c r="G595" s="509">
        <f>($G$589*$G$590*$G$591+$G$592*$G$593*$G$594/1000000)/2000</f>
        <v>10.672052891512383</v>
      </c>
      <c r="H595" s="509">
        <f>($H$589*$H$590*$H$591+$H$592*$H$593*$H$594/1000000)/2000</f>
        <v>10.968907769496409</v>
      </c>
      <c r="I595" s="509">
        <f>($I$589*$I$590*$I$591+$I$592*$I$593*$I$594/1000000)/2000</f>
        <v>11.166298217400929</v>
      </c>
      <c r="J595" s="508"/>
    </row>
    <row r="596" spans="1:10" ht="21" customHeight="1">
      <c r="A596" s="507" t="s">
        <v>754</v>
      </c>
      <c r="B596" s="508" t="s">
        <v>609</v>
      </c>
      <c r="C596" s="508" t="s">
        <v>411</v>
      </c>
      <c r="D596" s="509">
        <f>$D$579</f>
        <v>240889</v>
      </c>
      <c r="E596" s="509">
        <f>$E$579</f>
        <v>384448.26</v>
      </c>
      <c r="F596" s="509">
        <f>$F$579</f>
        <v>1667685.18</v>
      </c>
      <c r="G596" s="509">
        <f>$G$579</f>
        <v>1450441.86</v>
      </c>
      <c r="H596" s="509">
        <f>$H$579</f>
        <v>1632699.18</v>
      </c>
      <c r="I596" s="509">
        <f>$I$579</f>
        <v>459277.14</v>
      </c>
      <c r="J596" s="508" t="s">
        <v>145</v>
      </c>
    </row>
    <row r="597" spans="1:10" ht="21" customHeight="1">
      <c r="A597" s="507" t="s">
        <v>754</v>
      </c>
      <c r="B597" s="508" t="s">
        <v>610</v>
      </c>
      <c r="C597" s="508" t="s">
        <v>397</v>
      </c>
      <c r="D597" s="509">
        <v>0.13800000000000001</v>
      </c>
      <c r="E597" s="509">
        <v>0.13800000000000001</v>
      </c>
      <c r="F597" s="509">
        <v>0.13800000000000001</v>
      </c>
      <c r="G597" s="509">
        <v>0.13800000000000001</v>
      </c>
      <c r="H597" s="509">
        <v>0.13800000000000001</v>
      </c>
      <c r="I597" s="509">
        <f>'Cálculos SJ5'!E32</f>
        <v>0.13800000000000001</v>
      </c>
      <c r="J597" s="508" t="s">
        <v>145</v>
      </c>
    </row>
    <row r="598" spans="1:10" ht="21" customHeight="1">
      <c r="A598" s="507" t="s">
        <v>754</v>
      </c>
      <c r="B598" s="508" t="s">
        <v>611</v>
      </c>
      <c r="C598" s="508" t="s">
        <v>411</v>
      </c>
      <c r="D598" s="509">
        <f>$D$563</f>
        <v>8.3000000000000001E-3</v>
      </c>
      <c r="E598" s="509">
        <f>$E$563</f>
        <v>8.3000000000000001E-3</v>
      </c>
      <c r="F598" s="509">
        <f>$F$563</f>
        <v>8.3000000000000001E-3</v>
      </c>
      <c r="G598" s="509">
        <f>$G$563</f>
        <v>8.3000000000000001E-3</v>
      </c>
      <c r="H598" s="509">
        <f>$H$563</f>
        <v>8.3000000000000001E-3</v>
      </c>
      <c r="I598" s="509">
        <f>$I$563</f>
        <v>8.3000000000000001E-3</v>
      </c>
      <c r="J598" s="508" t="s">
        <v>145</v>
      </c>
    </row>
    <row r="599" spans="1:10" ht="21" customHeight="1">
      <c r="A599" s="507" t="s">
        <v>754</v>
      </c>
      <c r="B599" s="508" t="s">
        <v>612</v>
      </c>
      <c r="C599" s="508" t="s">
        <v>411</v>
      </c>
      <c r="D599" s="509">
        <f>$D$580</f>
        <v>987272793.86000001</v>
      </c>
      <c r="E599" s="509">
        <f>$E$580</f>
        <v>928901636.72000003</v>
      </c>
      <c r="F599" s="509">
        <f>$F$580</f>
        <v>704587502.38</v>
      </c>
      <c r="G599" s="509">
        <f>$G$580</f>
        <v>850329086.03999996</v>
      </c>
      <c r="H599" s="509">
        <f>$H$580</f>
        <v>865899021.70000005</v>
      </c>
      <c r="I599" s="509">
        <f>$I$580</f>
        <v>949989652.37</v>
      </c>
      <c r="J599" s="508" t="s">
        <v>145</v>
      </c>
    </row>
    <row r="600" spans="1:10" ht="21" customHeight="1">
      <c r="A600" s="507" t="s">
        <v>754</v>
      </c>
      <c r="B600" s="508" t="s">
        <v>613</v>
      </c>
      <c r="C600" s="508" t="s">
        <v>397</v>
      </c>
      <c r="D600" s="509">
        <v>1020</v>
      </c>
      <c r="E600" s="509">
        <v>1020</v>
      </c>
      <c r="F600" s="509">
        <v>1020</v>
      </c>
      <c r="G600" s="509">
        <v>1020</v>
      </c>
      <c r="H600" s="509">
        <v>1020</v>
      </c>
      <c r="I600" s="509">
        <f>'Cálculos SJ5'!O32</f>
        <v>1020</v>
      </c>
      <c r="J600" s="508" t="s">
        <v>145</v>
      </c>
    </row>
    <row r="601" spans="1:10" ht="21" customHeight="1">
      <c r="A601" s="507" t="s">
        <v>754</v>
      </c>
      <c r="B601" s="508" t="s">
        <v>614</v>
      </c>
      <c r="C601" s="508" t="s">
        <v>411</v>
      </c>
      <c r="D601" s="509">
        <f>$D$562</f>
        <v>2.0999999999999999E-3</v>
      </c>
      <c r="E601" s="509">
        <f>$E$562</f>
        <v>2.0999999999999999E-3</v>
      </c>
      <c r="F601" s="509">
        <f>$F$562</f>
        <v>2.0999999999999999E-3</v>
      </c>
      <c r="G601" s="509">
        <f>$G$562</f>
        <v>2.0999999999999999E-3</v>
      </c>
      <c r="H601" s="509">
        <f>$H$562</f>
        <v>2.0999999999999999E-3</v>
      </c>
      <c r="I601" s="509">
        <f>$I$562</f>
        <v>2.0999999999999999E-3</v>
      </c>
      <c r="J601" s="508" t="s">
        <v>145</v>
      </c>
    </row>
    <row r="602" spans="1:10" ht="21" customHeight="1">
      <c r="A602" s="507" t="s">
        <v>754</v>
      </c>
      <c r="B602" s="508" t="s">
        <v>615</v>
      </c>
      <c r="C602" s="508" t="s">
        <v>411</v>
      </c>
      <c r="D602" s="509">
        <f>($D$596*$D$597*$D$598+$D$599*$D$600*$D$601/1000000)/2000</f>
        <v>1.1953262925240602</v>
      </c>
      <c r="E602" s="509">
        <f>($E$596*$E$597*$E$598+$E$599*$E$600*$E$601/1000000)/2000</f>
        <v>1.2150271714291201</v>
      </c>
      <c r="F602" s="509">
        <f>($F$596*$F$597*$F$598+$F$599*$F$600*$F$601/1000000)/2000</f>
        <v>1.7096965176349799</v>
      </c>
      <c r="G602" s="509">
        <f>($G$596*$G$597*$G$598+$G$599*$G$600*$G$601/1000000)/2000</f>
        <v>1.7413705043708401</v>
      </c>
      <c r="H602" s="509">
        <f>($H$596*$H$597*$H$598+$H$599*$H$600*$H$601/1000000)/2000</f>
        <v>1.8624246726267</v>
      </c>
      <c r="I602" s="509">
        <f>($I$596*$I$597*$I$598+$I$599*$I$600*$I$601/1000000)/2000</f>
        <v>1.2804669357662701</v>
      </c>
      <c r="J602" s="508"/>
    </row>
    <row r="603" spans="1:10" ht="21" customHeight="1">
      <c r="A603" s="507" t="s">
        <v>754</v>
      </c>
      <c r="B603" s="508" t="s">
        <v>616</v>
      </c>
      <c r="C603" s="508" t="s">
        <v>411</v>
      </c>
      <c r="D603" s="509">
        <f>$D$579</f>
        <v>240889</v>
      </c>
      <c r="E603" s="509">
        <f>$E$579</f>
        <v>384448.26</v>
      </c>
      <c r="F603" s="509">
        <f>$F$579</f>
        <v>1667685.18</v>
      </c>
      <c r="G603" s="509">
        <f>$G$579</f>
        <v>1450441.86</v>
      </c>
      <c r="H603" s="509">
        <f>$H$579</f>
        <v>1632699.18</v>
      </c>
      <c r="I603" s="509">
        <f>$I$579</f>
        <v>459277.14</v>
      </c>
      <c r="J603" s="508" t="s">
        <v>146</v>
      </c>
    </row>
    <row r="604" spans="1:10" ht="21" customHeight="1">
      <c r="A604" s="507" t="s">
        <v>754</v>
      </c>
      <c r="B604" s="508" t="s">
        <v>617</v>
      </c>
      <c r="C604" s="508" t="s">
        <v>397</v>
      </c>
      <c r="D604" s="509">
        <v>0.13800000000000001</v>
      </c>
      <c r="E604" s="509">
        <v>0.13800000000000001</v>
      </c>
      <c r="F604" s="509">
        <v>0.13800000000000001</v>
      </c>
      <c r="G604" s="509">
        <v>0.13800000000000001</v>
      </c>
      <c r="H604" s="509">
        <v>0.13800000000000001</v>
      </c>
      <c r="I604" s="509">
        <f>'Cálculos SJ5'!E38</f>
        <v>0.13800000000000001</v>
      </c>
      <c r="J604" s="508" t="s">
        <v>146</v>
      </c>
    </row>
    <row r="605" spans="1:10" ht="21" customHeight="1">
      <c r="A605" s="507" t="s">
        <v>754</v>
      </c>
      <c r="B605" s="508" t="s">
        <v>618</v>
      </c>
      <c r="C605" s="508" t="s">
        <v>411</v>
      </c>
      <c r="D605" s="509">
        <f>$D$565</f>
        <v>2.8400000000000002E-2</v>
      </c>
      <c r="E605" s="509">
        <f>$E$565</f>
        <v>2.8400000000000002E-2</v>
      </c>
      <c r="F605" s="509">
        <f>$F$565</f>
        <v>2.8400000000000002E-2</v>
      </c>
      <c r="G605" s="509">
        <f>$G$565</f>
        <v>2.8400000000000002E-2</v>
      </c>
      <c r="H605" s="509">
        <f>$H$565</f>
        <v>2.8400000000000002E-2</v>
      </c>
      <c r="I605" s="509">
        <f>$I$565</f>
        <v>2.8400000000000002E-2</v>
      </c>
      <c r="J605" s="508" t="s">
        <v>146</v>
      </c>
    </row>
    <row r="606" spans="1:10" ht="21" customHeight="1">
      <c r="A606" s="507" t="s">
        <v>754</v>
      </c>
      <c r="B606" s="508" t="s">
        <v>619</v>
      </c>
      <c r="C606" s="508" t="s">
        <v>411</v>
      </c>
      <c r="D606" s="509">
        <f>$D$580</f>
        <v>987272793.86000001</v>
      </c>
      <c r="E606" s="509">
        <f>$E$580</f>
        <v>928901636.72000003</v>
      </c>
      <c r="F606" s="509">
        <f>$F$580</f>
        <v>704587502.38</v>
      </c>
      <c r="G606" s="509">
        <f>$G$580</f>
        <v>850329086.03999996</v>
      </c>
      <c r="H606" s="509">
        <f>$H$580</f>
        <v>865899021.70000005</v>
      </c>
      <c r="I606" s="509">
        <f>$I$580</f>
        <v>949989652.37</v>
      </c>
      <c r="J606" s="508" t="s">
        <v>146</v>
      </c>
    </row>
    <row r="607" spans="1:10" ht="21" customHeight="1">
      <c r="A607" s="507" t="s">
        <v>754</v>
      </c>
      <c r="B607" s="508" t="s">
        <v>620</v>
      </c>
      <c r="C607" s="508" t="s">
        <v>397</v>
      </c>
      <c r="D607" s="509">
        <v>1020</v>
      </c>
      <c r="E607" s="509">
        <v>1020</v>
      </c>
      <c r="F607" s="509">
        <v>1020</v>
      </c>
      <c r="G607" s="509">
        <v>1020</v>
      </c>
      <c r="H607" s="509">
        <v>1020</v>
      </c>
      <c r="I607" s="509">
        <f>'Cálculos SJ5'!O38</f>
        <v>1020</v>
      </c>
      <c r="J607" s="508" t="s">
        <v>146</v>
      </c>
    </row>
    <row r="608" spans="1:10" ht="21" customHeight="1">
      <c r="A608" s="507" t="s">
        <v>754</v>
      </c>
      <c r="B608" s="508" t="s">
        <v>621</v>
      </c>
      <c r="C608" s="508" t="s">
        <v>411</v>
      </c>
      <c r="D608" s="509">
        <f>$D$564</f>
        <v>6.6E-3</v>
      </c>
      <c r="E608" s="509">
        <f>$E$564</f>
        <v>6.6E-3</v>
      </c>
      <c r="F608" s="509">
        <f>$F$564</f>
        <v>6.6E-3</v>
      </c>
      <c r="G608" s="509">
        <f>$G$564</f>
        <v>6.6E-3</v>
      </c>
      <c r="H608" s="509">
        <f>$H$564</f>
        <v>6.6E-3</v>
      </c>
      <c r="I608" s="509">
        <f>$I$564</f>
        <v>6.6E-3</v>
      </c>
      <c r="J608" s="508" t="s">
        <v>146</v>
      </c>
    </row>
    <row r="609" spans="1:10" ht="21" customHeight="1">
      <c r="A609" s="507" t="s">
        <v>754</v>
      </c>
      <c r="B609" s="508" t="s">
        <v>622</v>
      </c>
      <c r="C609" s="508" t="s">
        <v>411</v>
      </c>
      <c r="D609" s="509">
        <f>($D$603*$D$604*$D$605+$D$606*$D$607*$D$608/1000000)/2000</f>
        <v>3.7952063085327601</v>
      </c>
      <c r="E609" s="509">
        <f>($E$603*$E$604*$E$605+$E$606*$E$607*$E$608/1000000)/2000</f>
        <v>3.8800477194955203</v>
      </c>
      <c r="F609" s="509">
        <f>($F$603*$F$604*$F$605+$F$606*$F$607*$F$608/1000000)/2000</f>
        <v>5.6396374117390806</v>
      </c>
      <c r="G609" s="509">
        <f>($G$603*$G$604*$G$605+$G$606*$G$607*$G$608/1000000)/2000</f>
        <v>5.7044935724666406</v>
      </c>
      <c r="H609" s="509">
        <f>($H$603*$H$604*$H$605+$H$606*$H$607*$H$608/1000000)/2000</f>
        <v>6.1140534201702001</v>
      </c>
      <c r="I609" s="509">
        <f>($I$603*$I$604*$I$605+$I$606*$I$607*$I$608/1000000)/2000</f>
        <v>4.0976646534214201</v>
      </c>
      <c r="J609" s="508"/>
    </row>
    <row r="610" spans="1:10" ht="21" customHeight="1">
      <c r="A610" s="507" t="s">
        <v>754</v>
      </c>
      <c r="B610" s="508" t="s">
        <v>521</v>
      </c>
      <c r="C610" s="508" t="s">
        <v>411</v>
      </c>
      <c r="D610" s="509">
        <f>$D$579</f>
        <v>240889</v>
      </c>
      <c r="E610" s="509">
        <f>$E$579</f>
        <v>384448.26</v>
      </c>
      <c r="F610" s="509">
        <f>$F$579</f>
        <v>1667685.18</v>
      </c>
      <c r="G610" s="509">
        <f>$G$579</f>
        <v>1450441.86</v>
      </c>
      <c r="H610" s="509">
        <f>$H$579</f>
        <v>1632699.18</v>
      </c>
      <c r="I610" s="509">
        <f>$I$579</f>
        <v>459277.14</v>
      </c>
      <c r="J610" s="508" t="s">
        <v>147</v>
      </c>
    </row>
    <row r="611" spans="1:10" ht="21" customHeight="1">
      <c r="A611" s="507" t="s">
        <v>754</v>
      </c>
      <c r="B611" s="508" t="s">
        <v>623</v>
      </c>
      <c r="C611" s="508" t="s">
        <v>397</v>
      </c>
      <c r="D611" s="509">
        <v>0.13800000000000001</v>
      </c>
      <c r="E611" s="509">
        <v>0.13800000000000001</v>
      </c>
      <c r="F611" s="509">
        <v>0.13800000000000001</v>
      </c>
      <c r="G611" s="509">
        <v>0.13800000000000001</v>
      </c>
      <c r="H611" s="509">
        <v>0.13800000000000001</v>
      </c>
      <c r="I611" s="509">
        <f>'Cálculos SJ5'!E44</f>
        <v>0.13800000000000001</v>
      </c>
      <c r="J611" s="508" t="s">
        <v>147</v>
      </c>
    </row>
    <row r="612" spans="1:10" ht="21" customHeight="1">
      <c r="A612" s="507" t="s">
        <v>754</v>
      </c>
      <c r="B612" s="508" t="s">
        <v>624</v>
      </c>
      <c r="C612" s="508" t="s">
        <v>411</v>
      </c>
      <c r="D612" s="509">
        <f>$D$567</f>
        <v>3.5700000000000003E-2</v>
      </c>
      <c r="E612" s="509">
        <f>$E$567</f>
        <v>3.5700000000000003E-2</v>
      </c>
      <c r="F612" s="509">
        <f>$F$567</f>
        <v>3.5700000000000003E-2</v>
      </c>
      <c r="G612" s="509">
        <f>$G$567</f>
        <v>3.5700000000000003E-2</v>
      </c>
      <c r="H612" s="509">
        <f>$H$567</f>
        <v>3.5700000000000003E-2</v>
      </c>
      <c r="I612" s="509">
        <f>$I$567</f>
        <v>3.5700000000000003E-2</v>
      </c>
      <c r="J612" s="508" t="s">
        <v>147</v>
      </c>
    </row>
    <row r="613" spans="1:10" ht="21" customHeight="1">
      <c r="A613" s="507" t="s">
        <v>754</v>
      </c>
      <c r="B613" s="508" t="s">
        <v>625</v>
      </c>
      <c r="C613" s="508" t="s">
        <v>411</v>
      </c>
      <c r="D613" s="509">
        <f>$D$580</f>
        <v>987272793.86000001</v>
      </c>
      <c r="E613" s="509">
        <f>$E$580</f>
        <v>928901636.72000003</v>
      </c>
      <c r="F613" s="509">
        <f>$F$580</f>
        <v>704587502.38</v>
      </c>
      <c r="G613" s="509">
        <f>$G$580</f>
        <v>850329086.03999996</v>
      </c>
      <c r="H613" s="509">
        <f>$H$580</f>
        <v>865899021.70000005</v>
      </c>
      <c r="I613" s="509">
        <f>$I$580</f>
        <v>949989652.37</v>
      </c>
      <c r="J613" s="508" t="s">
        <v>147</v>
      </c>
    </row>
    <row r="614" spans="1:10" ht="21" customHeight="1">
      <c r="A614" s="507" t="s">
        <v>754</v>
      </c>
      <c r="B614" s="508" t="s">
        <v>626</v>
      </c>
      <c r="C614" s="508" t="s">
        <v>397</v>
      </c>
      <c r="D614" s="509">
        <v>1020</v>
      </c>
      <c r="E614" s="509">
        <v>1020</v>
      </c>
      <c r="F614" s="509">
        <v>1020</v>
      </c>
      <c r="G614" s="509">
        <v>1020</v>
      </c>
      <c r="H614" s="509">
        <v>1020</v>
      </c>
      <c r="I614" s="509">
        <f>'Cálculos SJ5'!O44</f>
        <v>1020</v>
      </c>
      <c r="J614" s="508" t="s">
        <v>147</v>
      </c>
    </row>
    <row r="615" spans="1:10" ht="21" customHeight="1">
      <c r="A615" s="507" t="s">
        <v>754</v>
      </c>
      <c r="B615" s="508" t="s">
        <v>627</v>
      </c>
      <c r="C615" s="508" t="s">
        <v>411</v>
      </c>
      <c r="D615" s="509">
        <f>$D$566</f>
        <v>6.6E-3</v>
      </c>
      <c r="E615" s="509">
        <f>$E$566</f>
        <v>6.6E-3</v>
      </c>
      <c r="F615" s="509">
        <f>$F$566</f>
        <v>6.6E-3</v>
      </c>
      <c r="G615" s="509">
        <f>$G$566</f>
        <v>6.6E-3</v>
      </c>
      <c r="H615" s="509">
        <f>$H$566</f>
        <v>6.6E-3</v>
      </c>
      <c r="I615" s="509">
        <f>$I$566</f>
        <v>6.6E-3</v>
      </c>
      <c r="J615" s="508" t="s">
        <v>147</v>
      </c>
    </row>
    <row r="616" spans="1:10" ht="21" customHeight="1">
      <c r="A616" s="507" t="s">
        <v>754</v>
      </c>
      <c r="B616" s="508" t="s">
        <v>527</v>
      </c>
      <c r="C616" s="508" t="s">
        <v>411</v>
      </c>
      <c r="D616" s="509">
        <f>($D$610*$D$611*$D$612+$D$613*$D$614*$D$615/1000000)/2000</f>
        <v>3.9165420978327603</v>
      </c>
      <c r="E616" s="509">
        <f>($E$610*$E$611*$E$612+$E$613*$E$614*$E$615/1000000)/2000</f>
        <v>4.0736943080575205</v>
      </c>
      <c r="F616" s="509">
        <f>($F$610*$F$611*$F$612+$F$613*$F$614*$F$615/1000000)/2000</f>
        <v>6.4796504369050796</v>
      </c>
      <c r="G616" s="509">
        <f>($G$610*$G$611*$G$612+$G$613*$G$614*$G$615/1000000)/2000</f>
        <v>6.4350811373486403</v>
      </c>
      <c r="H616" s="509">
        <f>($H$610*$H$611*$H$612+$H$613*$H$614*$H$615/1000000)/2000</f>
        <v>6.9364439971362009</v>
      </c>
      <c r="I616" s="509">
        <f>($I$610*$I$611*$I$612+$I$613*$I$614*$I$615/1000000)/2000</f>
        <v>4.3290025488394202</v>
      </c>
      <c r="J616" s="508"/>
    </row>
    <row r="617" spans="1:10" ht="21" customHeight="1">
      <c r="A617" s="507" t="s">
        <v>754</v>
      </c>
      <c r="B617" s="508" t="s">
        <v>628</v>
      </c>
      <c r="C617" s="508" t="s">
        <v>411</v>
      </c>
      <c r="D617" s="509">
        <f>$D$579</f>
        <v>240889</v>
      </c>
      <c r="E617" s="509">
        <f>$E$579</f>
        <v>384448.26</v>
      </c>
      <c r="F617" s="509">
        <f>$F$579</f>
        <v>1667685.18</v>
      </c>
      <c r="G617" s="509">
        <f>$G$579</f>
        <v>1450441.86</v>
      </c>
      <c r="H617" s="509">
        <f>$H$579</f>
        <v>1632699.18</v>
      </c>
      <c r="I617" s="509">
        <f>$I$579</f>
        <v>459277.14</v>
      </c>
      <c r="J617" s="508" t="s">
        <v>148</v>
      </c>
    </row>
    <row r="618" spans="1:10" ht="21" customHeight="1">
      <c r="A618" s="507" t="s">
        <v>754</v>
      </c>
      <c r="B618" s="508" t="s">
        <v>629</v>
      </c>
      <c r="C618" s="508" t="s">
        <v>397</v>
      </c>
      <c r="D618" s="509">
        <v>0.13800000000000001</v>
      </c>
      <c r="E618" s="509">
        <v>0.13800000000000001</v>
      </c>
      <c r="F618" s="509">
        <v>0.13800000000000001</v>
      </c>
      <c r="G618" s="509">
        <v>0.13800000000000001</v>
      </c>
      <c r="H618" s="509">
        <v>0.13800000000000001</v>
      </c>
      <c r="I618" s="509">
        <f>'Cálculos SJ5'!E50</f>
        <v>0.13800000000000001</v>
      </c>
      <c r="J618" s="508" t="s">
        <v>148</v>
      </c>
    </row>
    <row r="619" spans="1:10" ht="21" customHeight="1">
      <c r="A619" s="507" t="s">
        <v>754</v>
      </c>
      <c r="B619" s="508" t="s">
        <v>630</v>
      </c>
      <c r="C619" s="508" t="s">
        <v>411</v>
      </c>
      <c r="D619" s="509">
        <f>$D$569</f>
        <v>3.5700000000000003E-2</v>
      </c>
      <c r="E619" s="509">
        <f>$E$569</f>
        <v>3.5700000000000003E-2</v>
      </c>
      <c r="F619" s="509">
        <f>$F$569</f>
        <v>3.5700000000000003E-2</v>
      </c>
      <c r="G619" s="509">
        <f>$G$569</f>
        <v>3.5700000000000003E-2</v>
      </c>
      <c r="H619" s="509">
        <f>$H$569</f>
        <v>3.5700000000000003E-2</v>
      </c>
      <c r="I619" s="509">
        <f>$I$569</f>
        <v>3.5700000000000003E-2</v>
      </c>
      <c r="J619" s="508" t="s">
        <v>148</v>
      </c>
    </row>
    <row r="620" spans="1:10" ht="21" customHeight="1">
      <c r="A620" s="507" t="s">
        <v>754</v>
      </c>
      <c r="B620" s="508" t="s">
        <v>631</v>
      </c>
      <c r="C620" s="508" t="s">
        <v>411</v>
      </c>
      <c r="D620" s="509">
        <f>$D$580</f>
        <v>987272793.86000001</v>
      </c>
      <c r="E620" s="509">
        <f>$E$580</f>
        <v>928901636.72000003</v>
      </c>
      <c r="F620" s="509">
        <f>$F$580</f>
        <v>704587502.38</v>
      </c>
      <c r="G620" s="509">
        <f>$G$580</f>
        <v>850329086.03999996</v>
      </c>
      <c r="H620" s="509">
        <f>$H$580</f>
        <v>865899021.70000005</v>
      </c>
      <c r="I620" s="509">
        <f>$I$580</f>
        <v>949989652.37</v>
      </c>
      <c r="J620" s="508" t="s">
        <v>148</v>
      </c>
    </row>
    <row r="621" spans="1:10" ht="21" customHeight="1">
      <c r="A621" s="507" t="s">
        <v>754</v>
      </c>
      <c r="B621" s="508" t="s">
        <v>632</v>
      </c>
      <c r="C621" s="508" t="s">
        <v>397</v>
      </c>
      <c r="D621" s="509">
        <v>1020</v>
      </c>
      <c r="E621" s="509">
        <v>1020</v>
      </c>
      <c r="F621" s="509">
        <v>1020</v>
      </c>
      <c r="G621" s="509">
        <v>1020</v>
      </c>
      <c r="H621" s="509">
        <v>1020</v>
      </c>
      <c r="I621" s="509">
        <f>'Cálculos SJ5'!O50</f>
        <v>1020</v>
      </c>
      <c r="J621" s="508" t="s">
        <v>148</v>
      </c>
    </row>
    <row r="622" spans="1:10" ht="21" customHeight="1">
      <c r="A622" s="507" t="s">
        <v>754</v>
      </c>
      <c r="B622" s="508" t="s">
        <v>633</v>
      </c>
      <c r="C622" s="508" t="s">
        <v>411</v>
      </c>
      <c r="D622" s="509">
        <f>$D$568</f>
        <v>6.6E-3</v>
      </c>
      <c r="E622" s="509">
        <f>$E$568</f>
        <v>6.6E-3</v>
      </c>
      <c r="F622" s="509">
        <f>$F$568</f>
        <v>6.6E-3</v>
      </c>
      <c r="G622" s="509">
        <f>$G$568</f>
        <v>6.6E-3</v>
      </c>
      <c r="H622" s="509">
        <f>$H$568</f>
        <v>6.6E-3</v>
      </c>
      <c r="I622" s="509">
        <f>$I$568</f>
        <v>6.6E-3</v>
      </c>
      <c r="J622" s="508" t="s">
        <v>148</v>
      </c>
    </row>
    <row r="623" spans="1:10" ht="21" customHeight="1">
      <c r="A623" s="507" t="s">
        <v>754</v>
      </c>
      <c r="B623" s="508" t="s">
        <v>634</v>
      </c>
      <c r="C623" s="508" t="s">
        <v>411</v>
      </c>
      <c r="D623" s="509">
        <f>($D$617*$D$618*$D$619+$D$620*$D$621*$D$622/1000000)/2000</f>
        <v>3.9165420978327603</v>
      </c>
      <c r="E623" s="509">
        <f>($E$617*$E$618*$E$619+$E$620*$E$621*$E$622/1000000)/2000</f>
        <v>4.0736943080575205</v>
      </c>
      <c r="F623" s="509">
        <f>($F$617*$F$618*$F$619+$F$620*$F$621*$F$622/1000000)/2000</f>
        <v>6.4796504369050796</v>
      </c>
      <c r="G623" s="509">
        <f>($G$617*$G$618*$G$619+$G$620*$G$621*$G$622/1000000)/2000</f>
        <v>6.4350811373486403</v>
      </c>
      <c r="H623" s="509">
        <f>($H$617*$H$618*$H$619+$H$620*$H$621*$H$622/1000000)/2000</f>
        <v>6.9364439971362009</v>
      </c>
      <c r="I623" s="509">
        <f>($I$617*$I$618*$I$619+$I$620*$I$621*$I$622/1000000)/2000</f>
        <v>4.3290025488394202</v>
      </c>
      <c r="J623" s="508"/>
    </row>
    <row r="624" spans="1:10" ht="21" customHeight="1">
      <c r="A624" s="507" t="s">
        <v>754</v>
      </c>
      <c r="B624" s="508" t="s">
        <v>635</v>
      </c>
      <c r="C624" s="508" t="s">
        <v>411</v>
      </c>
      <c r="D624" s="509">
        <f>$D$579</f>
        <v>240889</v>
      </c>
      <c r="E624" s="509">
        <f>$E$579</f>
        <v>384448.26</v>
      </c>
      <c r="F624" s="509">
        <f>$F$579</f>
        <v>1667685.18</v>
      </c>
      <c r="G624" s="509">
        <f>$G$579</f>
        <v>1450441.86</v>
      </c>
      <c r="H624" s="509">
        <f>$H$579</f>
        <v>1632699.18</v>
      </c>
      <c r="I624" s="509">
        <f>$I$579</f>
        <v>459277.14</v>
      </c>
      <c r="J624" s="508" t="s">
        <v>149</v>
      </c>
    </row>
    <row r="625" spans="1:10" ht="21" customHeight="1">
      <c r="A625" s="507" t="s">
        <v>754</v>
      </c>
      <c r="B625" s="508" t="s">
        <v>757</v>
      </c>
      <c r="C625" s="508" t="s">
        <v>397</v>
      </c>
      <c r="D625" s="509">
        <v>0.13800000000000001</v>
      </c>
      <c r="E625" s="509">
        <v>0.13800000000000001</v>
      </c>
      <c r="F625" s="509">
        <v>0.13800000000000001</v>
      </c>
      <c r="G625" s="509">
        <v>0.13800000000000001</v>
      </c>
      <c r="H625" s="509">
        <v>0.13800000000000001</v>
      </c>
      <c r="I625" s="509">
        <f>'Cálculos SJ5'!E56</f>
        <v>0.13800000000000001</v>
      </c>
      <c r="J625" s="508" t="s">
        <v>149</v>
      </c>
    </row>
    <row r="626" spans="1:10" ht="21" customHeight="1">
      <c r="A626" s="507" t="s">
        <v>754</v>
      </c>
      <c r="B626" s="508" t="s">
        <v>636</v>
      </c>
      <c r="C626" s="508" t="s">
        <v>411</v>
      </c>
      <c r="D626" s="509">
        <f>1.01*$D$581</f>
        <v>1.01E-2</v>
      </c>
      <c r="E626" s="509">
        <f>1.01*$E$581</f>
        <v>7.4739999999999995E-4</v>
      </c>
      <c r="F626" s="509">
        <f>1.01*$F$581</f>
        <v>6.0599999999999998E-4</v>
      </c>
      <c r="G626" s="509">
        <f>1.01*$G$581</f>
        <v>1.01E-3</v>
      </c>
      <c r="H626" s="509">
        <f>1.01*$H$581</f>
        <v>6.6660000000000005E-4</v>
      </c>
      <c r="I626" s="509">
        <f>1.01*$I$581</f>
        <v>7.0699999999999995E-4</v>
      </c>
      <c r="J626" s="508" t="s">
        <v>149</v>
      </c>
    </row>
    <row r="627" spans="1:10" ht="21" customHeight="1">
      <c r="A627" s="507" t="s">
        <v>754</v>
      </c>
      <c r="B627" s="508" t="s">
        <v>637</v>
      </c>
      <c r="C627" s="508" t="s">
        <v>411</v>
      </c>
      <c r="D627" s="509">
        <f>$D$580</f>
        <v>987272793.86000001</v>
      </c>
      <c r="E627" s="509">
        <f>$E$580</f>
        <v>928901636.72000003</v>
      </c>
      <c r="F627" s="509">
        <f>$F$580</f>
        <v>704587502.38</v>
      </c>
      <c r="G627" s="509">
        <f>$G$580</f>
        <v>850329086.03999996</v>
      </c>
      <c r="H627" s="509">
        <f>$H$580</f>
        <v>865899021.70000005</v>
      </c>
      <c r="I627" s="509">
        <f>$I$580</f>
        <v>949989652.37</v>
      </c>
      <c r="J627" s="508" t="s">
        <v>149</v>
      </c>
    </row>
    <row r="628" spans="1:10" ht="21" customHeight="1">
      <c r="A628" s="507" t="s">
        <v>754</v>
      </c>
      <c r="B628" s="508" t="s">
        <v>638</v>
      </c>
      <c r="C628" s="508" t="s">
        <v>397</v>
      </c>
      <c r="D628" s="509">
        <v>1020</v>
      </c>
      <c r="E628" s="509">
        <v>1020</v>
      </c>
      <c r="F628" s="509">
        <v>1020</v>
      </c>
      <c r="G628" s="509">
        <v>1020</v>
      </c>
      <c r="H628" s="509">
        <v>1020</v>
      </c>
      <c r="I628" s="509">
        <f>'Cálculos SJ5'!O56</f>
        <v>1020</v>
      </c>
      <c r="J628" s="508" t="s">
        <v>149</v>
      </c>
    </row>
    <row r="629" spans="1:10" ht="21" customHeight="1">
      <c r="A629" s="507" t="s">
        <v>754</v>
      </c>
      <c r="B629" s="508" t="s">
        <v>639</v>
      </c>
      <c r="C629" s="508" t="s">
        <v>411</v>
      </c>
      <c r="D629" s="509">
        <f>$D$571</f>
        <v>2.8E-3</v>
      </c>
      <c r="E629" s="509">
        <f>$E$571</f>
        <v>2.8E-3</v>
      </c>
      <c r="F629" s="509">
        <f>$F$571</f>
        <v>2.8E-3</v>
      </c>
      <c r="G629" s="509">
        <f>$G$571</f>
        <v>2.8E-3</v>
      </c>
      <c r="H629" s="509">
        <f>$H$571</f>
        <v>2.8E-3</v>
      </c>
      <c r="I629" s="509">
        <f>$I$571</f>
        <v>2.8E-3</v>
      </c>
      <c r="J629" s="508" t="s">
        <v>149</v>
      </c>
    </row>
    <row r="630" spans="1:10" ht="21" customHeight="1">
      <c r="A630" s="507" t="s">
        <v>754</v>
      </c>
      <c r="B630" s="508" t="s">
        <v>641</v>
      </c>
      <c r="C630" s="508" t="s">
        <v>411</v>
      </c>
      <c r="D630" s="509">
        <f>($D$624*$D$625*$D$626+$D$627*$D$628*$D$629/1000000)/2000</f>
        <v>1.5777010937320801</v>
      </c>
      <c r="E630" s="509">
        <f>($E$624*$E$625*$E$626+$E$627*$E$628*$E$629/1000000)/2000</f>
        <v>1.3462977646733159</v>
      </c>
      <c r="F630" s="509">
        <f>($F$624*$F$625*$F$626+$F$627*$F$628*$F$629/1000000)/2000</f>
        <v>1.0758835415151597</v>
      </c>
      <c r="G630" s="509">
        <f>($G$624*$G$625*$G$626+$G$627*$G$628*$G$629/1000000)/2000</f>
        <v>1.31535122808852</v>
      </c>
      <c r="H630" s="509">
        <f>($H$624*$H$625*$H$626+$H$627*$H$628*$H$629/1000000)/2000</f>
        <v>1.311600454851372</v>
      </c>
      <c r="I630" s="509">
        <f>($I$624*$I$625*$I$626+$I$627*$I$628*$I$629/1000000)/2000</f>
        <v>1.37899014030498</v>
      </c>
      <c r="J630" s="508"/>
    </row>
    <row r="631" spans="1:10" ht="21" customHeight="1">
      <c r="A631" s="507" t="s">
        <v>754</v>
      </c>
      <c r="B631" s="508" t="s">
        <v>581</v>
      </c>
      <c r="C631" s="508" t="s">
        <v>411</v>
      </c>
      <c r="D631" s="509">
        <f>$D$579</f>
        <v>240889</v>
      </c>
      <c r="E631" s="509">
        <f>$E$579</f>
        <v>384448.26</v>
      </c>
      <c r="F631" s="509">
        <f>$F$579</f>
        <v>1667685.18</v>
      </c>
      <c r="G631" s="509">
        <f>$G$579</f>
        <v>1450441.86</v>
      </c>
      <c r="H631" s="509">
        <f>$H$579</f>
        <v>1632699.18</v>
      </c>
      <c r="I631" s="509">
        <f>$I$579</f>
        <v>459277.14</v>
      </c>
      <c r="J631" s="508" t="s">
        <v>151</v>
      </c>
    </row>
    <row r="632" spans="1:10" ht="21" customHeight="1">
      <c r="A632" s="507" t="s">
        <v>754</v>
      </c>
      <c r="B632" s="508" t="s">
        <v>642</v>
      </c>
      <c r="C632" s="508" t="s">
        <v>397</v>
      </c>
      <c r="D632" s="509">
        <v>0.13800000000000001</v>
      </c>
      <c r="E632" s="509">
        <v>0.13800000000000001</v>
      </c>
      <c r="F632" s="509">
        <v>0.13800000000000001</v>
      </c>
      <c r="G632" s="509">
        <v>0.13800000000000001</v>
      </c>
      <c r="H632" s="509">
        <v>0.13800000000000001</v>
      </c>
      <c r="I632" s="509">
        <f>'Cálculos SJ5'!E62</f>
        <v>0.13800000000000001</v>
      </c>
      <c r="J632" s="508" t="s">
        <v>151</v>
      </c>
    </row>
    <row r="633" spans="1:10" ht="21" customHeight="1">
      <c r="A633" s="507" t="s">
        <v>754</v>
      </c>
      <c r="B633" s="508" t="s">
        <v>643</v>
      </c>
      <c r="C633" s="508" t="s">
        <v>411</v>
      </c>
      <c r="D633" s="509">
        <f>$D$573</f>
        <v>7.7000000000000002E-3</v>
      </c>
      <c r="E633" s="509">
        <f>$E$573</f>
        <v>7.7000000000000002E-3</v>
      </c>
      <c r="F633" s="509">
        <f>$F$573</f>
        <v>7.7000000000000002E-3</v>
      </c>
      <c r="G633" s="509">
        <f>$G$573</f>
        <v>7.7000000000000002E-3</v>
      </c>
      <c r="H633" s="509">
        <f>$H$573</f>
        <v>7.7000000000000002E-3</v>
      </c>
      <c r="I633" s="509">
        <f>$I$573</f>
        <v>7.7000000000000002E-3</v>
      </c>
      <c r="J633" s="508" t="s">
        <v>151</v>
      </c>
    </row>
    <row r="634" spans="1:10" ht="21" customHeight="1">
      <c r="A634" s="507" t="s">
        <v>754</v>
      </c>
      <c r="B634" s="508" t="s">
        <v>644</v>
      </c>
      <c r="C634" s="508" t="s">
        <v>411</v>
      </c>
      <c r="D634" s="509">
        <f>$D$580</f>
        <v>987272793.86000001</v>
      </c>
      <c r="E634" s="509">
        <f>$E$580</f>
        <v>928901636.72000003</v>
      </c>
      <c r="F634" s="509">
        <f>$F$580</f>
        <v>704587502.38</v>
      </c>
      <c r="G634" s="509">
        <f>$G$580</f>
        <v>850329086.03999996</v>
      </c>
      <c r="H634" s="509">
        <f>$H$580</f>
        <v>865899021.70000005</v>
      </c>
      <c r="I634" s="509">
        <f>$I$580</f>
        <v>949989652.37</v>
      </c>
      <c r="J634" s="508" t="s">
        <v>151</v>
      </c>
    </row>
    <row r="635" spans="1:10" ht="21" customHeight="1">
      <c r="A635" s="507" t="s">
        <v>754</v>
      </c>
      <c r="B635" s="508" t="s">
        <v>645</v>
      </c>
      <c r="C635" s="508" t="s">
        <v>397</v>
      </c>
      <c r="D635" s="509">
        <v>1020</v>
      </c>
      <c r="E635" s="509">
        <v>1020</v>
      </c>
      <c r="F635" s="509">
        <v>1020</v>
      </c>
      <c r="G635" s="509">
        <v>1020</v>
      </c>
      <c r="H635" s="509">
        <v>1020</v>
      </c>
      <c r="I635" s="509">
        <f>'Cálculos SJ5'!O62</f>
        <v>1020</v>
      </c>
      <c r="J635" s="508" t="s">
        <v>151</v>
      </c>
    </row>
    <row r="636" spans="1:10" ht="21" customHeight="1">
      <c r="A636" s="507" t="s">
        <v>754</v>
      </c>
      <c r="B636" s="508" t="s">
        <v>646</v>
      </c>
      <c r="C636" s="508" t="s">
        <v>411</v>
      </c>
      <c r="D636" s="509">
        <f>$D$572</f>
        <v>4.2999999999999999E-4</v>
      </c>
      <c r="E636" s="509">
        <f>$E$572</f>
        <v>4.2999999999999999E-4</v>
      </c>
      <c r="F636" s="509">
        <f>$F$572</f>
        <v>4.2999999999999999E-4</v>
      </c>
      <c r="G636" s="509">
        <f>$G$572</f>
        <v>4.2999999999999999E-4</v>
      </c>
      <c r="H636" s="509">
        <f>$H$572</f>
        <v>4.2999999999999999E-4</v>
      </c>
      <c r="I636" s="509">
        <f>$I$572</f>
        <v>4.2999999999999999E-4</v>
      </c>
      <c r="J636" s="508" t="s">
        <v>151</v>
      </c>
    </row>
    <row r="637" spans="1:10" ht="21" customHeight="1">
      <c r="A637" s="507" t="s">
        <v>754</v>
      </c>
      <c r="B637" s="508" t="s">
        <v>647</v>
      </c>
      <c r="C637" s="508" t="s">
        <v>411</v>
      </c>
      <c r="D637" s="509">
        <f>($D$631*$D$632*$D$633+$D$634*$D$635*$D$636/1000000)/2000</f>
        <v>0.34449324939349807</v>
      </c>
      <c r="E637" s="509">
        <f>($E$631*$E$632*$E$633+$E$634*$E$635*$E$636/1000000)/2000</f>
        <v>0.40796548947069605</v>
      </c>
      <c r="F637" s="509">
        <f>($F$631*$F$632*$F$633+$F$634*$F$635*$F$636/1000000)/2000</f>
        <v>1.040557175405934</v>
      </c>
      <c r="G637" s="509">
        <f>($G$631*$G$632*$G$633+$G$634*$G$635*$G$636/1000000)/2000</f>
        <v>0.95709692878657215</v>
      </c>
      <c r="H637" s="509">
        <f>($H$631*$H$632*$H$633+$H$634*$H$635*$H$636/1000000)/2000</f>
        <v>1.05734472979281</v>
      </c>
      <c r="I637" s="509">
        <f>($I$631*$I$632*$I$633+$I$634*$I$635*$I$636/1000000)/2000</f>
        <v>0.45234667524674105</v>
      </c>
      <c r="J637" s="508"/>
    </row>
    <row r="638" spans="1:10" ht="21" customHeight="1">
      <c r="A638" s="507" t="s">
        <v>754</v>
      </c>
      <c r="B638" s="508" t="s">
        <v>648</v>
      </c>
      <c r="C638" s="508" t="s">
        <v>411</v>
      </c>
      <c r="D638" s="509">
        <f>$D$579</f>
        <v>240889</v>
      </c>
      <c r="E638" s="509">
        <f>$E$579</f>
        <v>384448.26</v>
      </c>
      <c r="F638" s="509">
        <f>$F$579</f>
        <v>1667685.18</v>
      </c>
      <c r="G638" s="509">
        <f>$G$579</f>
        <v>1450441.86</v>
      </c>
      <c r="H638" s="509">
        <f>$H$579</f>
        <v>1632699.18</v>
      </c>
      <c r="I638" s="509">
        <f>$I$579</f>
        <v>459277.14</v>
      </c>
      <c r="J638" s="508" t="s">
        <v>152</v>
      </c>
    </row>
    <row r="639" spans="1:10" ht="21" customHeight="1">
      <c r="A639" s="507" t="s">
        <v>754</v>
      </c>
      <c r="B639" s="508" t="s">
        <v>649</v>
      </c>
      <c r="C639" s="508" t="s">
        <v>397</v>
      </c>
      <c r="D639" s="509">
        <v>0.13800000000000001</v>
      </c>
      <c r="E639" s="509">
        <v>0.13800000000000001</v>
      </c>
      <c r="F639" s="509">
        <v>0.13800000000000001</v>
      </c>
      <c r="G639" s="509">
        <v>0.13800000000000001</v>
      </c>
      <c r="H639" s="509">
        <v>0.13800000000000001</v>
      </c>
      <c r="I639" s="509">
        <f>'Cálculos SJ5'!E68</f>
        <v>0.13800000000000001</v>
      </c>
      <c r="J639" s="508" t="s">
        <v>152</v>
      </c>
    </row>
    <row r="640" spans="1:10" ht="21" customHeight="1">
      <c r="A640" s="507" t="s">
        <v>754</v>
      </c>
      <c r="B640" s="508" t="s">
        <v>650</v>
      </c>
      <c r="C640" s="508" t="s">
        <v>411</v>
      </c>
      <c r="D640" s="509">
        <f>$D$577</f>
        <v>9.0000000000000002E-6</v>
      </c>
      <c r="E640" s="509">
        <f>$E$577</f>
        <v>9.0000000000000002E-6</v>
      </c>
      <c r="F640" s="509">
        <f>$F$577</f>
        <v>9.0000000000000002E-6</v>
      </c>
      <c r="G640" s="509">
        <f>$G$577</f>
        <v>9.0000000000000002E-6</v>
      </c>
      <c r="H640" s="509">
        <f>$H$577</f>
        <v>9.0000000000000002E-6</v>
      </c>
      <c r="I640" s="509">
        <f>$I$577</f>
        <v>9.0000000000000002E-6</v>
      </c>
      <c r="J640" s="508" t="s">
        <v>152</v>
      </c>
    </row>
    <row r="641" spans="1:10" ht="21" customHeight="1">
      <c r="A641" s="507" t="s">
        <v>754</v>
      </c>
      <c r="B641" s="508" t="s">
        <v>651</v>
      </c>
      <c r="C641" s="508" t="s">
        <v>411</v>
      </c>
      <c r="D641" s="509">
        <f>$D$580</f>
        <v>987272793.86000001</v>
      </c>
      <c r="E641" s="509">
        <f>$E$580</f>
        <v>928901636.72000003</v>
      </c>
      <c r="F641" s="509">
        <f>$F$580</f>
        <v>704587502.38</v>
      </c>
      <c r="G641" s="509">
        <f>$G$580</f>
        <v>850329086.03999996</v>
      </c>
      <c r="H641" s="509">
        <f>$H$580</f>
        <v>865899021.70000005</v>
      </c>
      <c r="I641" s="509">
        <f>$I$580</f>
        <v>949989652.37</v>
      </c>
      <c r="J641" s="508" t="s">
        <v>152</v>
      </c>
    </row>
    <row r="642" spans="1:10" ht="21" customHeight="1">
      <c r="A642" s="507" t="s">
        <v>754</v>
      </c>
      <c r="B642" s="508" t="s">
        <v>652</v>
      </c>
      <c r="C642" s="508" t="s">
        <v>397</v>
      </c>
      <c r="D642" s="509">
        <v>1020</v>
      </c>
      <c r="E642" s="509">
        <v>1020</v>
      </c>
      <c r="F642" s="509">
        <v>1020</v>
      </c>
      <c r="G642" s="509">
        <v>1020</v>
      </c>
      <c r="H642" s="509">
        <v>1020</v>
      </c>
      <c r="I642" s="509">
        <f>'Cálculos SJ5'!O68</f>
        <v>1020</v>
      </c>
      <c r="J642" s="508" t="s">
        <v>152</v>
      </c>
    </row>
    <row r="643" spans="1:10" ht="21" customHeight="1">
      <c r="A643" s="507" t="s">
        <v>754</v>
      </c>
      <c r="B643" s="508" t="s">
        <v>653</v>
      </c>
      <c r="C643" s="508" t="s">
        <v>411</v>
      </c>
      <c r="D643" s="509">
        <f>$D$576</f>
        <v>0</v>
      </c>
      <c r="E643" s="509">
        <f>$E$576</f>
        <v>0</v>
      </c>
      <c r="F643" s="509">
        <f>$F$576</f>
        <v>0</v>
      </c>
      <c r="G643" s="509">
        <f>$G$576</f>
        <v>0</v>
      </c>
      <c r="H643" s="509">
        <f>$H$576</f>
        <v>0</v>
      </c>
      <c r="I643" s="509">
        <f>$I$576</f>
        <v>0</v>
      </c>
      <c r="J643" s="508" t="s">
        <v>152</v>
      </c>
    </row>
    <row r="644" spans="1:10" ht="21" customHeight="1">
      <c r="A644" s="507" t="s">
        <v>754</v>
      </c>
      <c r="B644" s="508" t="s">
        <v>586</v>
      </c>
      <c r="C644" s="508" t="s">
        <v>411</v>
      </c>
      <c r="D644" s="509">
        <f>($D$638*$D$639*$D$640+$D$641*$D$642*$D$643/1000000)/2000</f>
        <v>1.4959206899999998E-4</v>
      </c>
      <c r="E644" s="509">
        <f>($E$638*$E$639*$E$640+$E$641*$E$642*$E$643/1000000)/2000</f>
        <v>2.3874236946000001E-4</v>
      </c>
      <c r="F644" s="509">
        <f>($F$638*$F$639*$F$640+$F$641*$F$642*$F$643/1000000)/2000</f>
        <v>1.0356324967799998E-3</v>
      </c>
      <c r="G644" s="509">
        <f>($G$638*$G$639*$G$640+$G$641*$G$642*$G$643/1000000)/2000</f>
        <v>9.0072439506000011E-4</v>
      </c>
      <c r="H644" s="509">
        <f>($H$638*$H$639*$H$640+$H$641*$H$642*$H$643/1000000)/2000</f>
        <v>1.0139061907800001E-3</v>
      </c>
      <c r="I644" s="509">
        <f>($I$638*$I$639*$I$640+$I$641*$I$642*$I$643/1000000)/2000</f>
        <v>2.8521110394000006E-4</v>
      </c>
      <c r="J644" s="508"/>
    </row>
    <row r="645" spans="1:10" ht="21" customHeight="1">
      <c r="A645" s="507" t="s">
        <v>754</v>
      </c>
      <c r="B645" s="508" t="s">
        <v>654</v>
      </c>
      <c r="C645" s="508" t="s">
        <v>411</v>
      </c>
      <c r="D645" s="509">
        <f>$D$579</f>
        <v>240889</v>
      </c>
      <c r="E645" s="509">
        <f>$E$579</f>
        <v>384448.26</v>
      </c>
      <c r="F645" s="509">
        <f>$F$579</f>
        <v>1667685.18</v>
      </c>
      <c r="G645" s="509">
        <f>$G$579</f>
        <v>1450441.86</v>
      </c>
      <c r="H645" s="509">
        <f>$H$579</f>
        <v>1632699.18</v>
      </c>
      <c r="I645" s="509">
        <f>$I$579</f>
        <v>459277.14</v>
      </c>
      <c r="J645" s="508" t="s">
        <v>153</v>
      </c>
    </row>
    <row r="646" spans="1:10" ht="21" customHeight="1">
      <c r="A646" s="507" t="s">
        <v>754</v>
      </c>
      <c r="B646" s="508" t="s">
        <v>655</v>
      </c>
      <c r="C646" s="508" t="s">
        <v>411</v>
      </c>
      <c r="D646" s="509">
        <f>$D$575</f>
        <v>22.578420600240001</v>
      </c>
      <c r="E646" s="509">
        <f>$E$575</f>
        <v>22.578420600240001</v>
      </c>
      <c r="F646" s="509">
        <f>$F$575</f>
        <v>22.578420600240001</v>
      </c>
      <c r="G646" s="509">
        <f>$G$575</f>
        <v>22.578420600240001</v>
      </c>
      <c r="H646" s="509">
        <f>$H$575</f>
        <v>22.578420600240001</v>
      </c>
      <c r="I646" s="509">
        <f>$I$575</f>
        <v>22.578420600240001</v>
      </c>
      <c r="J646" s="508" t="s">
        <v>153</v>
      </c>
    </row>
    <row r="647" spans="1:10" ht="21" customHeight="1">
      <c r="A647" s="507" t="s">
        <v>754</v>
      </c>
      <c r="B647" s="508" t="s">
        <v>656</v>
      </c>
      <c r="C647" s="508" t="s">
        <v>411</v>
      </c>
      <c r="D647" s="509">
        <f>$D$580</f>
        <v>987272793.86000001</v>
      </c>
      <c r="E647" s="509">
        <f>$E$580</f>
        <v>928901636.72000003</v>
      </c>
      <c r="F647" s="509">
        <f>$F$580</f>
        <v>704587502.38</v>
      </c>
      <c r="G647" s="509">
        <f>$G$580</f>
        <v>850329086.03999996</v>
      </c>
      <c r="H647" s="509">
        <f>$H$580</f>
        <v>865899021.70000005</v>
      </c>
      <c r="I647" s="509">
        <f>$I$580</f>
        <v>949989652.37</v>
      </c>
      <c r="J647" s="508" t="s">
        <v>153</v>
      </c>
    </row>
    <row r="648" spans="1:10" ht="21" customHeight="1">
      <c r="A648" s="507" t="s">
        <v>754</v>
      </c>
      <c r="B648" s="508" t="s">
        <v>657</v>
      </c>
      <c r="C648" s="508" t="s">
        <v>411</v>
      </c>
      <c r="D648" s="509">
        <f>$D$578</f>
        <v>0.12049378638965323</v>
      </c>
      <c r="E648" s="509">
        <f>$E$578</f>
        <v>0.12049378638965323</v>
      </c>
      <c r="F648" s="509">
        <f>$F$578</f>
        <v>0.12049378638965323</v>
      </c>
      <c r="G648" s="509">
        <f>$G$578</f>
        <v>0.12049378638965323</v>
      </c>
      <c r="H648" s="509">
        <f>$H$578</f>
        <v>0.12049378638965323</v>
      </c>
      <c r="I648" s="509">
        <f>$I$578</f>
        <v>0.12049378638965323</v>
      </c>
      <c r="J648" s="508" t="s">
        <v>153</v>
      </c>
    </row>
    <row r="649" spans="1:10" ht="21" customHeight="1">
      <c r="A649" s="507" t="s">
        <v>754</v>
      </c>
      <c r="B649" s="508" t="s">
        <v>658</v>
      </c>
      <c r="C649" s="508" t="s">
        <v>397</v>
      </c>
      <c r="D649" s="509">
        <v>2000</v>
      </c>
      <c r="E649" s="509">
        <v>2000</v>
      </c>
      <c r="F649" s="509">
        <v>2000</v>
      </c>
      <c r="G649" s="509">
        <v>2000</v>
      </c>
      <c r="H649" s="509">
        <v>2000</v>
      </c>
      <c r="I649" s="509">
        <f>'Cálculos SJ5'!H75</f>
        <v>2000</v>
      </c>
      <c r="J649" s="508"/>
    </row>
    <row r="650" spans="1:10" ht="21" customHeight="1">
      <c r="A650" s="507" t="s">
        <v>754</v>
      </c>
      <c r="B650" s="508" t="s">
        <v>659</v>
      </c>
      <c r="C650" s="508" t="s">
        <v>411</v>
      </c>
      <c r="D650" s="509">
        <f>($D$645*$D$646+$D$647*$D$648)/$D$649</f>
        <v>62199.565145827102</v>
      </c>
      <c r="E650" s="509">
        <f>($E$645*$E$646+$E$647*$E$648)/$E$649</f>
        <v>60303.55495262469</v>
      </c>
      <c r="F650" s="509">
        <f>($F$645*$F$646+$F$647*$F$648)/$F$649</f>
        <v>61276.056713710976</v>
      </c>
      <c r="G650" s="509">
        <f>($G$645*$G$646+$G$647*$G$648)/$G$649</f>
        <v>67604.028812743636</v>
      </c>
      <c r="H650" s="509">
        <f>($H$645*$H$646+$H$647*$H$648)/$H$649</f>
        <v>70599.610277718224</v>
      </c>
      <c r="I650" s="509">
        <f>($I$645*$I$646+$I$647*$I$648)/$I$649</f>
        <v>62418.801342023515</v>
      </c>
      <c r="J650" s="508"/>
    </row>
    <row r="651" spans="1:10" ht="21" customHeight="1">
      <c r="A651" s="510" t="s">
        <v>758</v>
      </c>
      <c r="B651" s="506"/>
      <c r="C651" s="506"/>
      <c r="D651" s="511"/>
      <c r="E651" s="511"/>
      <c r="F651" s="511"/>
      <c r="G651" s="511"/>
      <c r="H651" s="511"/>
      <c r="I651" s="512"/>
      <c r="J651" s="506"/>
    </row>
    <row r="652" spans="1:10" ht="21" customHeight="1">
      <c r="A652" s="507" t="s">
        <v>758</v>
      </c>
      <c r="B652" s="508" t="s">
        <v>592</v>
      </c>
      <c r="C652" s="508" t="s">
        <v>397</v>
      </c>
      <c r="D652" s="509">
        <v>9.2099392372881395E-2</v>
      </c>
      <c r="E652" s="509">
        <v>9.2099392372881395E-2</v>
      </c>
      <c r="F652" s="509">
        <v>9.2099392372881395E-2</v>
      </c>
      <c r="G652" s="509">
        <v>9.2099392372881395E-2</v>
      </c>
      <c r="H652" s="509">
        <v>9.2099392372881395E-2</v>
      </c>
      <c r="I652" s="509">
        <f>'Cálculos SJ6'!B4</f>
        <v>9.2099392372881395E-2</v>
      </c>
      <c r="J652" s="508" t="s">
        <v>14</v>
      </c>
    </row>
    <row r="653" spans="1:10" ht="21" customHeight="1">
      <c r="A653" s="507" t="s">
        <v>758</v>
      </c>
      <c r="B653" s="508" t="s">
        <v>593</v>
      </c>
      <c r="C653" s="508" t="s">
        <v>397</v>
      </c>
      <c r="D653" s="509">
        <v>0.108058493511864</v>
      </c>
      <c r="E653" s="509">
        <v>0.108058493511864</v>
      </c>
      <c r="F653" s="509">
        <v>0.108058493511864</v>
      </c>
      <c r="G653" s="509">
        <v>0.108058493511864</v>
      </c>
      <c r="H653" s="509">
        <v>0.108058493511864</v>
      </c>
      <c r="I653" s="509">
        <f>'Cálculos SJ6'!C4</f>
        <v>0.108058493511864</v>
      </c>
      <c r="J653" s="508" t="s">
        <v>14</v>
      </c>
    </row>
    <row r="654" spans="1:10" ht="21" customHeight="1">
      <c r="A654" s="507" t="s">
        <v>758</v>
      </c>
      <c r="B654" s="508" t="s">
        <v>396</v>
      </c>
      <c r="C654" s="508" t="s">
        <v>397</v>
      </c>
      <c r="D654" s="509">
        <v>2.2429676537803301E-2</v>
      </c>
      <c r="E654" s="509">
        <v>2.2429676537803301E-2</v>
      </c>
      <c r="F654" s="509">
        <v>2.2429676537803301E-2</v>
      </c>
      <c r="G654" s="509">
        <v>2.2429676537803301E-2</v>
      </c>
      <c r="H654" s="509">
        <v>2.2429676537803301E-2</v>
      </c>
      <c r="I654" s="509">
        <f>'Cálculos SJ6'!B5</f>
        <v>2.2429676537803301E-2</v>
      </c>
      <c r="J654" s="508" t="s">
        <v>15</v>
      </c>
    </row>
    <row r="655" spans="1:10" ht="21" customHeight="1">
      <c r="A655" s="507" t="s">
        <v>758</v>
      </c>
      <c r="B655" s="508" t="s">
        <v>399</v>
      </c>
      <c r="C655" s="508" t="s">
        <v>397</v>
      </c>
      <c r="D655" s="509">
        <v>9.4426363060370194E-3</v>
      </c>
      <c r="E655" s="509">
        <v>9.4426363060370194E-3</v>
      </c>
      <c r="F655" s="509">
        <v>9.4426363060370194E-3</v>
      </c>
      <c r="G655" s="509">
        <v>9.4426363060370194E-3</v>
      </c>
      <c r="H655" s="509">
        <v>9.4426363060370194E-3</v>
      </c>
      <c r="I655" s="509">
        <f>'Cálculos SJ6'!C5</f>
        <v>9.4426363060370194E-3</v>
      </c>
      <c r="J655" s="508" t="s">
        <v>15</v>
      </c>
    </row>
    <row r="656" spans="1:10" ht="21" customHeight="1">
      <c r="A656" s="507" t="s">
        <v>758</v>
      </c>
      <c r="B656" s="508" t="s">
        <v>407</v>
      </c>
      <c r="C656" s="508" t="s">
        <v>397</v>
      </c>
      <c r="D656" s="509">
        <v>2.0999999999999999E-3</v>
      </c>
      <c r="E656" s="509">
        <v>2.0999999999999999E-3</v>
      </c>
      <c r="F656" s="509">
        <v>2.0999999999999999E-3</v>
      </c>
      <c r="G656" s="509">
        <v>2.0999999999999999E-3</v>
      </c>
      <c r="H656" s="509">
        <v>2.0999999999999999E-3</v>
      </c>
      <c r="I656" s="509">
        <f>'Cálculos SJ6'!B6</f>
        <v>2.0999999999999999E-3</v>
      </c>
      <c r="J656" s="508" t="s">
        <v>16</v>
      </c>
    </row>
    <row r="657" spans="1:10" ht="21" customHeight="1">
      <c r="A657" s="507" t="s">
        <v>758</v>
      </c>
      <c r="B657" s="508" t="s">
        <v>409</v>
      </c>
      <c r="C657" s="508" t="s">
        <v>397</v>
      </c>
      <c r="D657" s="509">
        <v>8.3000000000000001E-3</v>
      </c>
      <c r="E657" s="509">
        <v>8.3000000000000001E-3</v>
      </c>
      <c r="F657" s="509">
        <v>8.3000000000000001E-3</v>
      </c>
      <c r="G657" s="509">
        <v>8.3000000000000001E-3</v>
      </c>
      <c r="H657" s="509">
        <v>8.3000000000000001E-3</v>
      </c>
      <c r="I657" s="509">
        <f>'Cálculos SJ6'!C6</f>
        <v>8.3000000000000001E-3</v>
      </c>
      <c r="J657" s="508" t="s">
        <v>16</v>
      </c>
    </row>
    <row r="658" spans="1:10" ht="21" customHeight="1">
      <c r="A658" s="507" t="s">
        <v>758</v>
      </c>
      <c r="B658" s="508" t="s">
        <v>420</v>
      </c>
      <c r="C658" s="508" t="s">
        <v>397</v>
      </c>
      <c r="D658" s="509">
        <v>6.6E-3</v>
      </c>
      <c r="E658" s="509">
        <v>6.6E-3</v>
      </c>
      <c r="F658" s="509">
        <v>6.6E-3</v>
      </c>
      <c r="G658" s="509">
        <v>6.6E-3</v>
      </c>
      <c r="H658" s="509">
        <v>6.6E-3</v>
      </c>
      <c r="I658" s="509">
        <f>'Cálculos SJ6'!B7</f>
        <v>6.6E-3</v>
      </c>
      <c r="J658" s="508" t="s">
        <v>11</v>
      </c>
    </row>
    <row r="659" spans="1:10" ht="21" customHeight="1">
      <c r="A659" s="507" t="s">
        <v>758</v>
      </c>
      <c r="B659" s="508" t="s">
        <v>422</v>
      </c>
      <c r="C659" s="508" t="s">
        <v>397</v>
      </c>
      <c r="D659" s="509">
        <v>2.8400000000000002E-2</v>
      </c>
      <c r="E659" s="509">
        <v>2.8400000000000002E-2</v>
      </c>
      <c r="F659" s="509">
        <v>2.8400000000000002E-2</v>
      </c>
      <c r="G659" s="509">
        <v>2.8400000000000002E-2</v>
      </c>
      <c r="H659" s="509">
        <v>2.8400000000000002E-2</v>
      </c>
      <c r="I659" s="509">
        <f>'Cálculos SJ6'!C7</f>
        <v>2.8400000000000002E-2</v>
      </c>
      <c r="J659" s="508" t="s">
        <v>11</v>
      </c>
    </row>
    <row r="660" spans="1:10" ht="21" customHeight="1">
      <c r="A660" s="507" t="s">
        <v>758</v>
      </c>
      <c r="B660" s="508" t="s">
        <v>431</v>
      </c>
      <c r="C660" s="508" t="s">
        <v>397</v>
      </c>
      <c r="D660" s="509">
        <v>6.6E-3</v>
      </c>
      <c r="E660" s="509">
        <v>6.6E-3</v>
      </c>
      <c r="F660" s="509">
        <v>6.6E-3</v>
      </c>
      <c r="G660" s="509">
        <v>6.6E-3</v>
      </c>
      <c r="H660" s="509">
        <v>6.6E-3</v>
      </c>
      <c r="I660" s="509">
        <f>'Cálculos SJ6'!B8</f>
        <v>6.6E-3</v>
      </c>
      <c r="J660" s="508" t="s">
        <v>12</v>
      </c>
    </row>
    <row r="661" spans="1:10" ht="21" customHeight="1">
      <c r="A661" s="507" t="s">
        <v>758</v>
      </c>
      <c r="B661" s="508" t="s">
        <v>433</v>
      </c>
      <c r="C661" s="508" t="s">
        <v>397</v>
      </c>
      <c r="D661" s="509">
        <v>3.5700000000000003E-2</v>
      </c>
      <c r="E661" s="509">
        <v>3.5700000000000003E-2</v>
      </c>
      <c r="F661" s="509">
        <v>3.5700000000000003E-2</v>
      </c>
      <c r="G661" s="509">
        <v>3.5700000000000003E-2</v>
      </c>
      <c r="H661" s="509">
        <v>3.5700000000000003E-2</v>
      </c>
      <c r="I661" s="509">
        <f>'Cálculos SJ6'!C8</f>
        <v>3.5700000000000003E-2</v>
      </c>
      <c r="J661" s="508" t="s">
        <v>12</v>
      </c>
    </row>
    <row r="662" spans="1:10" ht="21" customHeight="1">
      <c r="A662" s="507" t="s">
        <v>758</v>
      </c>
      <c r="B662" s="508" t="s">
        <v>440</v>
      </c>
      <c r="C662" s="508" t="s">
        <v>397</v>
      </c>
      <c r="D662" s="509">
        <v>6.6E-3</v>
      </c>
      <c r="E662" s="509">
        <v>6.6E-3</v>
      </c>
      <c r="F662" s="509">
        <v>6.6E-3</v>
      </c>
      <c r="G662" s="509">
        <v>6.6E-3</v>
      </c>
      <c r="H662" s="509">
        <v>6.6E-3</v>
      </c>
      <c r="I662" s="509">
        <f>'Cálculos SJ6'!B9</f>
        <v>6.6E-3</v>
      </c>
      <c r="J662" s="508" t="s">
        <v>34</v>
      </c>
    </row>
    <row r="663" spans="1:10" ht="21" customHeight="1">
      <c r="A663" s="507" t="s">
        <v>758</v>
      </c>
      <c r="B663" s="508" t="s">
        <v>442</v>
      </c>
      <c r="C663" s="508" t="s">
        <v>397</v>
      </c>
      <c r="D663" s="509">
        <v>3.5700000000000003E-2</v>
      </c>
      <c r="E663" s="509">
        <v>3.5700000000000003E-2</v>
      </c>
      <c r="F663" s="509">
        <v>3.5700000000000003E-2</v>
      </c>
      <c r="G663" s="509">
        <v>3.5700000000000003E-2</v>
      </c>
      <c r="H663" s="509">
        <v>3.5700000000000003E-2</v>
      </c>
      <c r="I663" s="509">
        <f>'Cálculos SJ6'!C9</f>
        <v>3.5700000000000003E-2</v>
      </c>
      <c r="J663" s="508" t="s">
        <v>34</v>
      </c>
    </row>
    <row r="664" spans="1:10" ht="21" customHeight="1">
      <c r="A664" s="507" t="s">
        <v>758</v>
      </c>
      <c r="B664" s="508" t="s">
        <v>443</v>
      </c>
      <c r="C664" s="508" t="s">
        <v>411</v>
      </c>
      <c r="D664" s="509">
        <f>$D$717</f>
        <v>0</v>
      </c>
      <c r="E664" s="509">
        <f>$E$717</f>
        <v>0</v>
      </c>
      <c r="F664" s="509">
        <f>$F$717</f>
        <v>0</v>
      </c>
      <c r="G664" s="509">
        <f>$G$717</f>
        <v>3.366E-13</v>
      </c>
      <c r="H664" s="509">
        <f>$H$717</f>
        <v>0</v>
      </c>
      <c r="I664" s="509">
        <f>$I$717</f>
        <v>3.0855124823846398</v>
      </c>
      <c r="J664" s="508" t="s">
        <v>34</v>
      </c>
    </row>
    <row r="665" spans="1:10" ht="21" customHeight="1">
      <c r="A665" s="507" t="s">
        <v>758</v>
      </c>
      <c r="B665" s="508" t="s">
        <v>450</v>
      </c>
      <c r="C665" s="508" t="s">
        <v>397</v>
      </c>
      <c r="D665" s="509">
        <v>2.8E-3</v>
      </c>
      <c r="E665" s="509">
        <v>2.8E-3</v>
      </c>
      <c r="F665" s="509">
        <v>2.8E-3</v>
      </c>
      <c r="G665" s="509">
        <v>2.8E-3</v>
      </c>
      <c r="H665" s="509">
        <v>2.8E-3</v>
      </c>
      <c r="I665" s="509">
        <f>'Cálculos SJ6'!B10</f>
        <v>2.8E-3</v>
      </c>
      <c r="J665" s="508" t="s">
        <v>13</v>
      </c>
    </row>
    <row r="666" spans="1:10" ht="21" customHeight="1">
      <c r="A666" s="507" t="s">
        <v>758</v>
      </c>
      <c r="B666" s="508" t="s">
        <v>459</v>
      </c>
      <c r="C666" s="508" t="s">
        <v>397</v>
      </c>
      <c r="D666" s="509">
        <v>4.2999999999999999E-4</v>
      </c>
      <c r="E666" s="509">
        <v>4.2999999999999999E-4</v>
      </c>
      <c r="F666" s="509">
        <v>4.2999999999999999E-4</v>
      </c>
      <c r="G666" s="509">
        <v>4.2999999999999999E-4</v>
      </c>
      <c r="H666" s="509">
        <v>4.2999999999999999E-4</v>
      </c>
      <c r="I666" s="509">
        <f>'Cálculos SJ6'!B11</f>
        <v>4.2999999999999999E-4</v>
      </c>
      <c r="J666" s="508" t="s">
        <v>36</v>
      </c>
    </row>
    <row r="667" spans="1:10" ht="21" customHeight="1">
      <c r="A667" s="507" t="s">
        <v>758</v>
      </c>
      <c r="B667" s="508" t="s">
        <v>461</v>
      </c>
      <c r="C667" s="508" t="s">
        <v>397</v>
      </c>
      <c r="D667" s="509">
        <v>7.7000000000000002E-3</v>
      </c>
      <c r="E667" s="509">
        <v>7.7000000000000002E-3</v>
      </c>
      <c r="F667" s="509">
        <v>7.7000000000000002E-3</v>
      </c>
      <c r="G667" s="509">
        <v>7.7000000000000002E-3</v>
      </c>
      <c r="H667" s="509">
        <v>7.7000000000000002E-3</v>
      </c>
      <c r="I667" s="509">
        <f>'Cálculos SJ6'!C11</f>
        <v>7.7000000000000002E-3</v>
      </c>
      <c r="J667" s="508" t="s">
        <v>36</v>
      </c>
    </row>
    <row r="668" spans="1:10" ht="21" customHeight="1">
      <c r="A668" s="507" t="s">
        <v>758</v>
      </c>
      <c r="B668" s="508" t="s">
        <v>755</v>
      </c>
      <c r="C668" s="508" t="s">
        <v>411</v>
      </c>
      <c r="D668" s="509">
        <f>$D$731</f>
        <v>0</v>
      </c>
      <c r="E668" s="509">
        <f>$E$731</f>
        <v>0</v>
      </c>
      <c r="F668" s="509">
        <f>$F$731</f>
        <v>0</v>
      </c>
      <c r="G668" s="509">
        <f>$G$731</f>
        <v>2.1930000000000001E-14</v>
      </c>
      <c r="H668" s="509">
        <f>$H$731</f>
        <v>0</v>
      </c>
      <c r="I668" s="509">
        <f>$I$731</f>
        <v>0.20102581324627197</v>
      </c>
      <c r="J668" s="508" t="s">
        <v>36</v>
      </c>
    </row>
    <row r="669" spans="1:10" ht="21" customHeight="1">
      <c r="A669" s="507" t="s">
        <v>758</v>
      </c>
      <c r="B669" s="508" t="s">
        <v>594</v>
      </c>
      <c r="C669" s="508" t="s">
        <v>411</v>
      </c>
      <c r="D669" s="509">
        <f>(73.96+0.003*25+0.0006*298)*2.2046*0.138</f>
        <v>22.578420600240001</v>
      </c>
      <c r="E669" s="509">
        <f>(73.96+0.003*25+0.0006*298)*2.2046*0.138</f>
        <v>22.578420600240001</v>
      </c>
      <c r="F669" s="509">
        <f>(73.96+0.003*25+0.0006*298)*2.2046*0.138</f>
        <v>22.578420600240001</v>
      </c>
      <c r="G669" s="509">
        <f>(73.96+0.003*25+0.0006*298)*2.2046*0.138</f>
        <v>22.578420600240001</v>
      </c>
      <c r="H669" s="509">
        <f>(73.96+0.003*25+0.0006*298)*2.2046*0.138</f>
        <v>22.578420600240001</v>
      </c>
      <c r="I669" s="509">
        <f>(73.96+0.003*25+0.0006*298)*2.2046*0.138</f>
        <v>22.578420600240001</v>
      </c>
      <c r="J669" s="508" t="s">
        <v>36</v>
      </c>
    </row>
    <row r="670" spans="1:10" ht="21" customHeight="1">
      <c r="A670" s="507" t="s">
        <v>758</v>
      </c>
      <c r="B670" s="508" t="s">
        <v>464</v>
      </c>
      <c r="C670" s="508" t="s">
        <v>397</v>
      </c>
      <c r="D670" s="509">
        <v>0</v>
      </c>
      <c r="E670" s="509">
        <v>0</v>
      </c>
      <c r="F670" s="509">
        <v>0</v>
      </c>
      <c r="G670" s="509">
        <v>0</v>
      </c>
      <c r="H670" s="509">
        <v>0</v>
      </c>
      <c r="I670" s="509">
        <f>'Cálculos SJ6'!B12</f>
        <v>0</v>
      </c>
      <c r="J670" s="508" t="s">
        <v>17</v>
      </c>
    </row>
    <row r="671" spans="1:10" ht="21" customHeight="1">
      <c r="A671" s="507" t="s">
        <v>758</v>
      </c>
      <c r="B671" s="508" t="s">
        <v>466</v>
      </c>
      <c r="C671" s="508" t="s">
        <v>397</v>
      </c>
      <c r="D671" s="509">
        <v>9.0000000000000002E-6</v>
      </c>
      <c r="E671" s="509">
        <v>9.0000000000000002E-6</v>
      </c>
      <c r="F671" s="509">
        <v>9.0000000000000002E-6</v>
      </c>
      <c r="G671" s="509">
        <v>9.0000000000000002E-6</v>
      </c>
      <c r="H671" s="509">
        <v>9.0000000000000002E-6</v>
      </c>
      <c r="I671" s="509">
        <f>'Cálculos SJ6'!C12</f>
        <v>9.0000000000000002E-6</v>
      </c>
      <c r="J671" s="508" t="s">
        <v>17</v>
      </c>
    </row>
    <row r="672" spans="1:10" ht="21" customHeight="1">
      <c r="A672" s="507" t="s">
        <v>758</v>
      </c>
      <c r="B672" s="508" t="s">
        <v>595</v>
      </c>
      <c r="C672" s="508" t="s">
        <v>411</v>
      </c>
      <c r="D672" s="509">
        <f>(475409.8+224+267)*2204.62/8707340462.38</f>
        <v>0.12049378638965323</v>
      </c>
      <c r="E672" s="509">
        <f>(475409.8+224+267)*2204.62/8707340462.38</f>
        <v>0.12049378638965323</v>
      </c>
      <c r="F672" s="509">
        <f>(475409.8+224+267)*2204.62/8707340462.38</f>
        <v>0.12049378638965323</v>
      </c>
      <c r="G672" s="509">
        <f>(475409.8+224+267)*2204.62/8707340462.38</f>
        <v>0.12049378638965323</v>
      </c>
      <c r="H672" s="509">
        <f>(475409.8+224+267)*2204.62/8707340462.38</f>
        <v>0.12049378638965323</v>
      </c>
      <c r="I672" s="509">
        <f>(475409.8+224+267)*2204.62/8707340462.38</f>
        <v>0.12049378638965323</v>
      </c>
      <c r="J672" s="508" t="s">
        <v>17</v>
      </c>
    </row>
    <row r="673" spans="1:10" ht="21" customHeight="1">
      <c r="A673" s="507" t="s">
        <v>758</v>
      </c>
      <c r="B673" s="508" t="s">
        <v>484</v>
      </c>
      <c r="C673" s="508" t="s">
        <v>411</v>
      </c>
      <c r="D673" s="509">
        <f>$D$462</f>
        <v>0</v>
      </c>
      <c r="E673" s="509">
        <f>$E$468</f>
        <v>0</v>
      </c>
      <c r="F673" s="509">
        <f>$F$476</f>
        <v>0</v>
      </c>
      <c r="G673" s="509">
        <f>$G$482</f>
        <v>0</v>
      </c>
      <c r="H673" s="509">
        <f>$H$490</f>
        <v>0</v>
      </c>
      <c r="I673" s="509">
        <f>$I$498</f>
        <v>0</v>
      </c>
      <c r="J673" s="508" t="s">
        <v>756</v>
      </c>
    </row>
    <row r="674" spans="1:10" ht="21" customHeight="1">
      <c r="A674" s="507" t="s">
        <v>758</v>
      </c>
      <c r="B674" s="508" t="s">
        <v>489</v>
      </c>
      <c r="C674" s="508" t="s">
        <v>411</v>
      </c>
      <c r="D674" s="509">
        <f>$D$464</f>
        <v>0</v>
      </c>
      <c r="E674" s="509">
        <f>$E$472</f>
        <v>0</v>
      </c>
      <c r="F674" s="509">
        <f>$F$480</f>
        <v>0</v>
      </c>
      <c r="G674" s="509">
        <f>$G$486</f>
        <v>1E-4</v>
      </c>
      <c r="H674" s="509">
        <f>$H$494</f>
        <v>0</v>
      </c>
      <c r="I674" s="509">
        <f>$I$502</f>
        <v>916670375.03999996</v>
      </c>
      <c r="J674" s="508" t="s">
        <v>597</v>
      </c>
    </row>
    <row r="675" spans="1:10" ht="21" customHeight="1">
      <c r="A675" s="507" t="s">
        <v>758</v>
      </c>
      <c r="B675" s="508" t="s">
        <v>564</v>
      </c>
      <c r="C675" s="508" t="s">
        <v>716</v>
      </c>
      <c r="D675" s="509">
        <v>0.01</v>
      </c>
      <c r="E675" s="509">
        <f>$E$470</f>
        <v>7.3999999999999999E-4</v>
      </c>
      <c r="F675" s="509">
        <f>$F$478</f>
        <v>5.9999999999999995E-4</v>
      </c>
      <c r="G675" s="509">
        <f>$G$484</f>
        <v>1E-3</v>
      </c>
      <c r="H675" s="509">
        <f>$H$492</f>
        <v>6.6E-4</v>
      </c>
      <c r="I675" s="509">
        <f>$I$500</f>
        <v>6.9999999999999999E-4</v>
      </c>
      <c r="J675" s="508" t="s">
        <v>206</v>
      </c>
    </row>
    <row r="676" spans="1:10" ht="21" customHeight="1">
      <c r="A676" s="507" t="s">
        <v>758</v>
      </c>
      <c r="B676" s="508" t="s">
        <v>598</v>
      </c>
      <c r="C676" s="508" t="s">
        <v>411</v>
      </c>
      <c r="D676" s="509">
        <f>$D$673</f>
        <v>0</v>
      </c>
      <c r="E676" s="509">
        <f>$E$673</f>
        <v>0</v>
      </c>
      <c r="F676" s="509">
        <f>$F$673</f>
        <v>0</v>
      </c>
      <c r="G676" s="509">
        <f>$G$673</f>
        <v>0</v>
      </c>
      <c r="H676" s="509">
        <f>$H$673</f>
        <v>0</v>
      </c>
      <c r="I676" s="509">
        <f>$I$673</f>
        <v>0</v>
      </c>
      <c r="J676" s="508" t="s">
        <v>132</v>
      </c>
    </row>
    <row r="677" spans="1:10" ht="21" customHeight="1">
      <c r="A677" s="507" t="s">
        <v>758</v>
      </c>
      <c r="B677" s="508" t="s">
        <v>599</v>
      </c>
      <c r="C677" s="508" t="s">
        <v>397</v>
      </c>
      <c r="D677" s="509">
        <v>0.13800000000000001</v>
      </c>
      <c r="E677" s="509">
        <v>0.13800000000000001</v>
      </c>
      <c r="F677" s="509">
        <v>0.13800000000000001</v>
      </c>
      <c r="G677" s="509">
        <v>0.13800000000000001</v>
      </c>
      <c r="H677" s="509">
        <v>0.13800000000000001</v>
      </c>
      <c r="I677" s="509">
        <f>'Cálculos SJ6'!E20</f>
        <v>0.13800000000000001</v>
      </c>
      <c r="J677" s="508" t="s">
        <v>132</v>
      </c>
    </row>
    <row r="678" spans="1:10" ht="21" customHeight="1">
      <c r="A678" s="507" t="s">
        <v>758</v>
      </c>
      <c r="B678" s="508" t="s">
        <v>600</v>
      </c>
      <c r="C678" s="508" t="s">
        <v>411</v>
      </c>
      <c r="D678" s="509">
        <f>$D$653</f>
        <v>0.108058493511864</v>
      </c>
      <c r="E678" s="509">
        <f>$E$653</f>
        <v>0.108058493511864</v>
      </c>
      <c r="F678" s="509">
        <f>$F$653</f>
        <v>0.108058493511864</v>
      </c>
      <c r="G678" s="509">
        <f>$G$653</f>
        <v>0.108058493511864</v>
      </c>
      <c r="H678" s="509">
        <f>$H$653</f>
        <v>0.108058493511864</v>
      </c>
      <c r="I678" s="509">
        <f>$I$653</f>
        <v>0.108058493511864</v>
      </c>
      <c r="J678" s="508" t="s">
        <v>132</v>
      </c>
    </row>
    <row r="679" spans="1:10" ht="21" customHeight="1">
      <c r="A679" s="507" t="s">
        <v>758</v>
      </c>
      <c r="B679" s="508" t="s">
        <v>601</v>
      </c>
      <c r="C679" s="508" t="s">
        <v>411</v>
      </c>
      <c r="D679" s="509">
        <f>$D$674</f>
        <v>0</v>
      </c>
      <c r="E679" s="509">
        <f>$E$674</f>
        <v>0</v>
      </c>
      <c r="F679" s="509">
        <f>$F$674</f>
        <v>0</v>
      </c>
      <c r="G679" s="509">
        <f>$G$674</f>
        <v>1E-4</v>
      </c>
      <c r="H679" s="509">
        <f>$H$674</f>
        <v>0</v>
      </c>
      <c r="I679" s="509">
        <f>$I$674</f>
        <v>916670375.03999996</v>
      </c>
      <c r="J679" s="508" t="s">
        <v>132</v>
      </c>
    </row>
    <row r="680" spans="1:10" ht="21" customHeight="1">
      <c r="A680" s="507" t="s">
        <v>758</v>
      </c>
      <c r="B680" s="508" t="s">
        <v>602</v>
      </c>
      <c r="C680" s="508" t="s">
        <v>397</v>
      </c>
      <c r="D680" s="509">
        <v>1020</v>
      </c>
      <c r="E680" s="509">
        <v>1020</v>
      </c>
      <c r="F680" s="509">
        <v>1020</v>
      </c>
      <c r="G680" s="509">
        <v>1020</v>
      </c>
      <c r="H680" s="509">
        <v>1020</v>
      </c>
      <c r="I680" s="509">
        <f>'Cálculos SJ6'!O20</f>
        <v>1020</v>
      </c>
      <c r="J680" s="508" t="s">
        <v>132</v>
      </c>
    </row>
    <row r="681" spans="1:10" ht="21" customHeight="1">
      <c r="A681" s="507" t="s">
        <v>758</v>
      </c>
      <c r="B681" s="508" t="s">
        <v>603</v>
      </c>
      <c r="C681" s="508" t="s">
        <v>411</v>
      </c>
      <c r="D681" s="509">
        <f>$D$652</f>
        <v>9.2099392372881395E-2</v>
      </c>
      <c r="E681" s="509">
        <f>$E$652</f>
        <v>9.2099392372881395E-2</v>
      </c>
      <c r="F681" s="509">
        <f>$F$652</f>
        <v>9.2099392372881395E-2</v>
      </c>
      <c r="G681" s="509">
        <f>$G$652</f>
        <v>9.2099392372881395E-2</v>
      </c>
      <c r="H681" s="509">
        <f>$H$652</f>
        <v>9.2099392372881395E-2</v>
      </c>
      <c r="I681" s="509">
        <f>$I$652</f>
        <v>9.2099392372881395E-2</v>
      </c>
      <c r="J681" s="508" t="s">
        <v>132</v>
      </c>
    </row>
    <row r="682" spans="1:10" ht="21" customHeight="1">
      <c r="A682" s="507" t="s">
        <v>758</v>
      </c>
      <c r="B682" s="508" t="s">
        <v>604</v>
      </c>
      <c r="C682" s="508" t="s">
        <v>411</v>
      </c>
      <c r="D682" s="509">
        <f>($D$676*$D$677*$D$678+$D$679*$D$680*$D$681/1000000)/2000</f>
        <v>0</v>
      </c>
      <c r="E682" s="509">
        <f>($E$676*$E$677*$E$678+$E$679*$E$680*$E$681/1000000)/2000</f>
        <v>0</v>
      </c>
      <c r="F682" s="509">
        <f>($F$676*$F$677*$F$678+$F$679*$F$680*$F$681/1000000)/2000</f>
        <v>0</v>
      </c>
      <c r="G682" s="509">
        <f>($G$676*$G$677*$G$678+$G$679*$G$680*$G$681/1000000)/2000</f>
        <v>4.6970690110169505E-12</v>
      </c>
      <c r="H682" s="509">
        <f>($H$676*$H$677*$H$678+$H$679*$H$680*$H$681/1000000)/2000</f>
        <v>0</v>
      </c>
      <c r="I682" s="509">
        <f>($I$676*$I$677*$I$678+$I$679*$I$680*$I$681/1000000)/2000</f>
        <v>43.056640119176706</v>
      </c>
      <c r="J682" s="508"/>
    </row>
    <row r="683" spans="1:10" ht="21" customHeight="1">
      <c r="A683" s="507" t="s">
        <v>758</v>
      </c>
      <c r="B683" s="508" t="s">
        <v>501</v>
      </c>
      <c r="C683" s="508" t="s">
        <v>411</v>
      </c>
      <c r="D683" s="509">
        <f>$D$673</f>
        <v>0</v>
      </c>
      <c r="E683" s="509">
        <f>$E$673</f>
        <v>0</v>
      </c>
      <c r="F683" s="509">
        <f>$F$673</f>
        <v>0</v>
      </c>
      <c r="G683" s="509">
        <f>$G$673</f>
        <v>0</v>
      </c>
      <c r="H683" s="509">
        <f>$H$673</f>
        <v>0</v>
      </c>
      <c r="I683" s="509">
        <f>$I$673</f>
        <v>0</v>
      </c>
      <c r="J683" s="508" t="s">
        <v>144</v>
      </c>
    </row>
    <row r="684" spans="1:10" ht="21" customHeight="1">
      <c r="A684" s="507" t="s">
        <v>758</v>
      </c>
      <c r="B684" s="508" t="s">
        <v>504</v>
      </c>
      <c r="C684" s="508" t="s">
        <v>397</v>
      </c>
      <c r="D684" s="509">
        <v>0.13800000000000001</v>
      </c>
      <c r="E684" s="509">
        <v>0.13800000000000001</v>
      </c>
      <c r="F684" s="509">
        <v>0.13800000000000001</v>
      </c>
      <c r="G684" s="509">
        <v>0.13800000000000001</v>
      </c>
      <c r="H684" s="509">
        <v>0.13800000000000001</v>
      </c>
      <c r="I684" s="509">
        <f>'Cálculos SJ6'!E26</f>
        <v>0.13800000000000001</v>
      </c>
      <c r="J684" s="508" t="s">
        <v>144</v>
      </c>
    </row>
    <row r="685" spans="1:10" ht="21" customHeight="1">
      <c r="A685" s="507" t="s">
        <v>758</v>
      </c>
      <c r="B685" s="508" t="s">
        <v>605</v>
      </c>
      <c r="C685" s="508" t="s">
        <v>411</v>
      </c>
      <c r="D685" s="509">
        <f>$D$655</f>
        <v>9.4426363060370194E-3</v>
      </c>
      <c r="E685" s="509">
        <f>$E$655</f>
        <v>9.4426363060370194E-3</v>
      </c>
      <c r="F685" s="509">
        <f>$F$655</f>
        <v>9.4426363060370194E-3</v>
      </c>
      <c r="G685" s="509">
        <f>$G$655</f>
        <v>9.4426363060370194E-3</v>
      </c>
      <c r="H685" s="509">
        <f>$H$655</f>
        <v>9.4426363060370194E-3</v>
      </c>
      <c r="I685" s="509">
        <f>$I$655</f>
        <v>9.4426363060370194E-3</v>
      </c>
      <c r="J685" s="508" t="s">
        <v>144</v>
      </c>
    </row>
    <row r="686" spans="1:10" ht="21" customHeight="1">
      <c r="A686" s="507" t="s">
        <v>758</v>
      </c>
      <c r="B686" s="508" t="s">
        <v>606</v>
      </c>
      <c r="C686" s="508" t="s">
        <v>411</v>
      </c>
      <c r="D686" s="509">
        <f>$D$674</f>
        <v>0</v>
      </c>
      <c r="E686" s="509">
        <f>$E$674</f>
        <v>0</v>
      </c>
      <c r="F686" s="509">
        <f>$F$674</f>
        <v>0</v>
      </c>
      <c r="G686" s="509">
        <f>$G$674</f>
        <v>1E-4</v>
      </c>
      <c r="H686" s="509">
        <f>$H$674</f>
        <v>0</v>
      </c>
      <c r="I686" s="509">
        <f>$I$674</f>
        <v>916670375.03999996</v>
      </c>
      <c r="J686" s="508" t="s">
        <v>144</v>
      </c>
    </row>
    <row r="687" spans="1:10" ht="21" customHeight="1">
      <c r="A687" s="507" t="s">
        <v>758</v>
      </c>
      <c r="B687" s="508" t="s">
        <v>607</v>
      </c>
      <c r="C687" s="508" t="s">
        <v>397</v>
      </c>
      <c r="D687" s="509">
        <v>1020</v>
      </c>
      <c r="E687" s="509">
        <v>1020</v>
      </c>
      <c r="F687" s="509">
        <v>1020</v>
      </c>
      <c r="G687" s="509">
        <v>1020</v>
      </c>
      <c r="H687" s="509">
        <v>1020</v>
      </c>
      <c r="I687" s="509">
        <f>'Cálculos SJ6'!O26</f>
        <v>1020</v>
      </c>
      <c r="J687" s="508" t="s">
        <v>144</v>
      </c>
    </row>
    <row r="688" spans="1:10" ht="21" customHeight="1">
      <c r="A688" s="507" t="s">
        <v>758</v>
      </c>
      <c r="B688" s="508" t="s">
        <v>608</v>
      </c>
      <c r="C688" s="508" t="s">
        <v>411</v>
      </c>
      <c r="D688" s="509">
        <f>$D$654</f>
        <v>2.2429676537803301E-2</v>
      </c>
      <c r="E688" s="509">
        <f>$E$654</f>
        <v>2.2429676537803301E-2</v>
      </c>
      <c r="F688" s="509">
        <f>$F$654</f>
        <v>2.2429676537803301E-2</v>
      </c>
      <c r="G688" s="509">
        <f>$G$654</f>
        <v>2.2429676537803301E-2</v>
      </c>
      <c r="H688" s="509">
        <f>$H$654</f>
        <v>2.2429676537803301E-2</v>
      </c>
      <c r="I688" s="509">
        <f>$I$654</f>
        <v>2.2429676537803301E-2</v>
      </c>
      <c r="J688" s="508" t="s">
        <v>144</v>
      </c>
    </row>
    <row r="689" spans="1:10" ht="21" customHeight="1">
      <c r="A689" s="507" t="s">
        <v>758</v>
      </c>
      <c r="B689" s="508" t="s">
        <v>513</v>
      </c>
      <c r="C689" s="508" t="s">
        <v>411</v>
      </c>
      <c r="D689" s="509">
        <f>($D$683*$D$684*$D$685+$D$686*$D$687*$D$688/1000000)/2000</f>
        <v>0</v>
      </c>
      <c r="E689" s="509">
        <f>($E$683*$E$684*$E$685+$E$686*$E$687*$E$688/1000000)/2000</f>
        <v>0</v>
      </c>
      <c r="F689" s="509">
        <f>($F$683*$F$684*$F$685+$F$686*$F$687*$F$688/1000000)/2000</f>
        <v>0</v>
      </c>
      <c r="G689" s="509">
        <f>($G$683*$G$684*$G$685+$G$686*$G$687*$G$688/1000000)/2000</f>
        <v>1.1439135034279685E-12</v>
      </c>
      <c r="H689" s="509">
        <f>($H$683*$H$684*$H$685+$H$686*$H$687*$H$688/1000000)/2000</f>
        <v>0</v>
      </c>
      <c r="I689" s="509">
        <f>($I$683*$I$684*$I$685+$I$686*$I$687*$I$688/1000000)/2000</f>
        <v>10.48591620200636</v>
      </c>
      <c r="J689" s="508"/>
    </row>
    <row r="690" spans="1:10" ht="21" customHeight="1">
      <c r="A690" s="507" t="s">
        <v>758</v>
      </c>
      <c r="B690" s="508" t="s">
        <v>609</v>
      </c>
      <c r="C690" s="508" t="s">
        <v>411</v>
      </c>
      <c r="D690" s="509">
        <f>$D$673</f>
        <v>0</v>
      </c>
      <c r="E690" s="509">
        <f>$E$673</f>
        <v>0</v>
      </c>
      <c r="F690" s="509">
        <f>$F$673</f>
        <v>0</v>
      </c>
      <c r="G690" s="509">
        <f>$G$673</f>
        <v>0</v>
      </c>
      <c r="H690" s="509">
        <f>$H$673</f>
        <v>0</v>
      </c>
      <c r="I690" s="509">
        <f>$I$673</f>
        <v>0</v>
      </c>
      <c r="J690" s="508" t="s">
        <v>145</v>
      </c>
    </row>
    <row r="691" spans="1:10" ht="21" customHeight="1">
      <c r="A691" s="507" t="s">
        <v>758</v>
      </c>
      <c r="B691" s="508" t="s">
        <v>610</v>
      </c>
      <c r="C691" s="508" t="s">
        <v>397</v>
      </c>
      <c r="D691" s="509">
        <v>0.13800000000000001</v>
      </c>
      <c r="E691" s="509">
        <v>0.13800000000000001</v>
      </c>
      <c r="F691" s="509">
        <v>0.13800000000000001</v>
      </c>
      <c r="G691" s="509">
        <v>0.13800000000000001</v>
      </c>
      <c r="H691" s="509">
        <v>0.13800000000000001</v>
      </c>
      <c r="I691" s="509">
        <f>'Cálculos SJ6'!E32</f>
        <v>0.13800000000000001</v>
      </c>
      <c r="J691" s="508" t="s">
        <v>145</v>
      </c>
    </row>
    <row r="692" spans="1:10" ht="21" customHeight="1">
      <c r="A692" s="507" t="s">
        <v>758</v>
      </c>
      <c r="B692" s="508" t="s">
        <v>611</v>
      </c>
      <c r="C692" s="508" t="s">
        <v>411</v>
      </c>
      <c r="D692" s="509">
        <f>$D$657</f>
        <v>8.3000000000000001E-3</v>
      </c>
      <c r="E692" s="509">
        <f>$E$657</f>
        <v>8.3000000000000001E-3</v>
      </c>
      <c r="F692" s="509">
        <f>$F$657</f>
        <v>8.3000000000000001E-3</v>
      </c>
      <c r="G692" s="509">
        <f>$G$657</f>
        <v>8.3000000000000001E-3</v>
      </c>
      <c r="H692" s="509">
        <f>$H$657</f>
        <v>8.3000000000000001E-3</v>
      </c>
      <c r="I692" s="509">
        <f>$I$657</f>
        <v>8.3000000000000001E-3</v>
      </c>
      <c r="J692" s="508" t="s">
        <v>145</v>
      </c>
    </row>
    <row r="693" spans="1:10" ht="21" customHeight="1">
      <c r="A693" s="507" t="s">
        <v>758</v>
      </c>
      <c r="B693" s="508" t="s">
        <v>612</v>
      </c>
      <c r="C693" s="508" t="s">
        <v>411</v>
      </c>
      <c r="D693" s="509">
        <f>$D$674</f>
        <v>0</v>
      </c>
      <c r="E693" s="509">
        <f>$E$674</f>
        <v>0</v>
      </c>
      <c r="F693" s="509">
        <f>$F$674</f>
        <v>0</v>
      </c>
      <c r="G693" s="509">
        <f>$G$674</f>
        <v>1E-4</v>
      </c>
      <c r="H693" s="509">
        <f>$H$674</f>
        <v>0</v>
      </c>
      <c r="I693" s="509">
        <f>$I$674</f>
        <v>916670375.03999996</v>
      </c>
      <c r="J693" s="508" t="s">
        <v>145</v>
      </c>
    </row>
    <row r="694" spans="1:10" ht="21" customHeight="1">
      <c r="A694" s="507" t="s">
        <v>758</v>
      </c>
      <c r="B694" s="508" t="s">
        <v>613</v>
      </c>
      <c r="C694" s="508" t="s">
        <v>397</v>
      </c>
      <c r="D694" s="509">
        <v>1020</v>
      </c>
      <c r="E694" s="509">
        <v>1020</v>
      </c>
      <c r="F694" s="509">
        <v>1020</v>
      </c>
      <c r="G694" s="509">
        <v>1020</v>
      </c>
      <c r="H694" s="509">
        <v>1020</v>
      </c>
      <c r="I694" s="509">
        <f>'Cálculos SJ6'!O32</f>
        <v>1020</v>
      </c>
      <c r="J694" s="508" t="s">
        <v>145</v>
      </c>
    </row>
    <row r="695" spans="1:10" ht="21" customHeight="1">
      <c r="A695" s="507" t="s">
        <v>758</v>
      </c>
      <c r="B695" s="508" t="s">
        <v>614</v>
      </c>
      <c r="C695" s="508" t="s">
        <v>411</v>
      </c>
      <c r="D695" s="509">
        <f>$D$656</f>
        <v>2.0999999999999999E-3</v>
      </c>
      <c r="E695" s="509">
        <f>$E$656</f>
        <v>2.0999999999999999E-3</v>
      </c>
      <c r="F695" s="509">
        <f>$F$656</f>
        <v>2.0999999999999999E-3</v>
      </c>
      <c r="G695" s="509">
        <f>$G$656</f>
        <v>2.0999999999999999E-3</v>
      </c>
      <c r="H695" s="509">
        <f>$H$656</f>
        <v>2.0999999999999999E-3</v>
      </c>
      <c r="I695" s="509">
        <f>$I$656</f>
        <v>2.0999999999999999E-3</v>
      </c>
      <c r="J695" s="508" t="s">
        <v>145</v>
      </c>
    </row>
    <row r="696" spans="1:10" ht="21" customHeight="1">
      <c r="A696" s="507" t="s">
        <v>758</v>
      </c>
      <c r="B696" s="508" t="s">
        <v>615</v>
      </c>
      <c r="C696" s="508" t="s">
        <v>411</v>
      </c>
      <c r="D696" s="509">
        <f>($D$690*$D$691*$D$692+$D$693*$D$694*$D$695/1000000)/2000</f>
        <v>0</v>
      </c>
      <c r="E696" s="509">
        <f>($E$690*$E$691*$E$692+$E$693*$E$694*$E$695/1000000)/2000</f>
        <v>0</v>
      </c>
      <c r="F696" s="509">
        <f>($F$690*$F$691*$F$692+$F$693*$F$694*$F$695/1000000)/2000</f>
        <v>0</v>
      </c>
      <c r="G696" s="509">
        <f>($G$690*$G$691*$G$692+$G$693*$G$694*$G$695/1000000)/2000</f>
        <v>1.0709999999999999E-13</v>
      </c>
      <c r="H696" s="509">
        <f>($H$690*$H$691*$H$692+$H$693*$H$694*$H$695/1000000)/2000</f>
        <v>0</v>
      </c>
      <c r="I696" s="509">
        <f>($I$690*$I$691*$I$692+$I$693*$I$694*$I$695/1000000)/2000</f>
        <v>0.98175397166783984</v>
      </c>
      <c r="J696" s="508"/>
    </row>
    <row r="697" spans="1:10" ht="21" customHeight="1">
      <c r="A697" s="507" t="s">
        <v>758</v>
      </c>
      <c r="B697" s="508" t="s">
        <v>616</v>
      </c>
      <c r="C697" s="508" t="s">
        <v>411</v>
      </c>
      <c r="D697" s="509">
        <f>$D$673</f>
        <v>0</v>
      </c>
      <c r="E697" s="509">
        <f>$E$673</f>
        <v>0</v>
      </c>
      <c r="F697" s="509">
        <f>$F$673</f>
        <v>0</v>
      </c>
      <c r="G697" s="509">
        <f>$G$673</f>
        <v>0</v>
      </c>
      <c r="H697" s="509">
        <f>$H$673</f>
        <v>0</v>
      </c>
      <c r="I697" s="509">
        <f>$I$673</f>
        <v>0</v>
      </c>
      <c r="J697" s="508" t="s">
        <v>146</v>
      </c>
    </row>
    <row r="698" spans="1:10" ht="21" customHeight="1">
      <c r="A698" s="507" t="s">
        <v>758</v>
      </c>
      <c r="B698" s="508" t="s">
        <v>617</v>
      </c>
      <c r="C698" s="508" t="s">
        <v>397</v>
      </c>
      <c r="D698" s="509">
        <v>0.13800000000000001</v>
      </c>
      <c r="E698" s="509">
        <v>0.13800000000000001</v>
      </c>
      <c r="F698" s="509">
        <v>0.13800000000000001</v>
      </c>
      <c r="G698" s="509">
        <v>0.13800000000000001</v>
      </c>
      <c r="H698" s="509">
        <v>0.13800000000000001</v>
      </c>
      <c r="I698" s="509">
        <f>'Cálculos SJ6'!E38</f>
        <v>0.13800000000000001</v>
      </c>
      <c r="J698" s="508" t="s">
        <v>146</v>
      </c>
    </row>
    <row r="699" spans="1:10" ht="21" customHeight="1">
      <c r="A699" s="507" t="s">
        <v>758</v>
      </c>
      <c r="B699" s="508" t="s">
        <v>618</v>
      </c>
      <c r="C699" s="508" t="s">
        <v>411</v>
      </c>
      <c r="D699" s="509">
        <f>$D$659</f>
        <v>2.8400000000000002E-2</v>
      </c>
      <c r="E699" s="509">
        <f>$E$659</f>
        <v>2.8400000000000002E-2</v>
      </c>
      <c r="F699" s="509">
        <f>$F$659</f>
        <v>2.8400000000000002E-2</v>
      </c>
      <c r="G699" s="509">
        <f>$G$659</f>
        <v>2.8400000000000002E-2</v>
      </c>
      <c r="H699" s="509">
        <f>$H$659</f>
        <v>2.8400000000000002E-2</v>
      </c>
      <c r="I699" s="509">
        <f>$I$659</f>
        <v>2.8400000000000002E-2</v>
      </c>
      <c r="J699" s="508" t="s">
        <v>146</v>
      </c>
    </row>
    <row r="700" spans="1:10" ht="21" customHeight="1">
      <c r="A700" s="507" t="s">
        <v>758</v>
      </c>
      <c r="B700" s="508" t="s">
        <v>619</v>
      </c>
      <c r="C700" s="508" t="s">
        <v>411</v>
      </c>
      <c r="D700" s="509">
        <f>$D$674</f>
        <v>0</v>
      </c>
      <c r="E700" s="509">
        <f>$E$674</f>
        <v>0</v>
      </c>
      <c r="F700" s="509">
        <f>$F$674</f>
        <v>0</v>
      </c>
      <c r="G700" s="509">
        <f>$G$674</f>
        <v>1E-4</v>
      </c>
      <c r="H700" s="509">
        <f>$H$674</f>
        <v>0</v>
      </c>
      <c r="I700" s="509">
        <f>$I$674</f>
        <v>916670375.03999996</v>
      </c>
      <c r="J700" s="508" t="s">
        <v>146</v>
      </c>
    </row>
    <row r="701" spans="1:10" ht="21" customHeight="1">
      <c r="A701" s="507" t="s">
        <v>758</v>
      </c>
      <c r="B701" s="508" t="s">
        <v>620</v>
      </c>
      <c r="C701" s="508" t="s">
        <v>397</v>
      </c>
      <c r="D701" s="509">
        <v>1020</v>
      </c>
      <c r="E701" s="509">
        <v>1020</v>
      </c>
      <c r="F701" s="509">
        <v>1020</v>
      </c>
      <c r="G701" s="509">
        <v>1020</v>
      </c>
      <c r="H701" s="509">
        <v>1020</v>
      </c>
      <c r="I701" s="509">
        <f>'Cálculos SJ6'!O38</f>
        <v>1020</v>
      </c>
      <c r="J701" s="508" t="s">
        <v>146</v>
      </c>
    </row>
    <row r="702" spans="1:10" ht="21" customHeight="1">
      <c r="A702" s="507" t="s">
        <v>758</v>
      </c>
      <c r="B702" s="508" t="s">
        <v>621</v>
      </c>
      <c r="C702" s="508" t="s">
        <v>411</v>
      </c>
      <c r="D702" s="509">
        <f>$D$658</f>
        <v>6.6E-3</v>
      </c>
      <c r="E702" s="509">
        <f>$E$658</f>
        <v>6.6E-3</v>
      </c>
      <c r="F702" s="509">
        <f>$F$658</f>
        <v>6.6E-3</v>
      </c>
      <c r="G702" s="509">
        <f>$G$658</f>
        <v>6.6E-3</v>
      </c>
      <c r="H702" s="509">
        <f>$H$658</f>
        <v>6.6E-3</v>
      </c>
      <c r="I702" s="509">
        <f>$I$658</f>
        <v>6.6E-3</v>
      </c>
      <c r="J702" s="508" t="s">
        <v>146</v>
      </c>
    </row>
    <row r="703" spans="1:10" ht="21" customHeight="1">
      <c r="A703" s="507" t="s">
        <v>758</v>
      </c>
      <c r="B703" s="508" t="s">
        <v>622</v>
      </c>
      <c r="C703" s="508" t="s">
        <v>411</v>
      </c>
      <c r="D703" s="509">
        <f>($D$697*$D$698*$D$699+$D$700*$D$701*$D$702/1000000)/2000</f>
        <v>0</v>
      </c>
      <c r="E703" s="509">
        <f>($E$697*$E$698*$E$699+$E$700*$E$701*$E$702/1000000)/2000</f>
        <v>0</v>
      </c>
      <c r="F703" s="509">
        <f>($F$697*$F$698*$F$699+$F$700*$F$701*$F$702/1000000)/2000</f>
        <v>0</v>
      </c>
      <c r="G703" s="509">
        <f>($G$697*$G$698*$G$699+$G$700*$G$701*$G$702/1000000)/2000</f>
        <v>3.366E-13</v>
      </c>
      <c r="H703" s="509">
        <f>($H$697*$H$698*$H$699+$H$700*$H$701*$H$702/1000000)/2000</f>
        <v>0</v>
      </c>
      <c r="I703" s="509">
        <f>($I$697*$I$698*$I$699+$I$700*$I$701*$I$702/1000000)/2000</f>
        <v>3.0855124823846398</v>
      </c>
      <c r="J703" s="508"/>
    </row>
    <row r="704" spans="1:10" ht="21" customHeight="1">
      <c r="A704" s="507" t="s">
        <v>758</v>
      </c>
      <c r="B704" s="508" t="s">
        <v>521</v>
      </c>
      <c r="C704" s="508" t="s">
        <v>411</v>
      </c>
      <c r="D704" s="509">
        <f>$D$673</f>
        <v>0</v>
      </c>
      <c r="E704" s="509">
        <f>$E$673</f>
        <v>0</v>
      </c>
      <c r="F704" s="509">
        <f>$F$673</f>
        <v>0</v>
      </c>
      <c r="G704" s="509">
        <f>$G$673</f>
        <v>0</v>
      </c>
      <c r="H704" s="509">
        <f>$H$673</f>
        <v>0</v>
      </c>
      <c r="I704" s="509">
        <f>$I$673</f>
        <v>0</v>
      </c>
      <c r="J704" s="508" t="s">
        <v>147</v>
      </c>
    </row>
    <row r="705" spans="1:10" ht="21" customHeight="1">
      <c r="A705" s="507" t="s">
        <v>758</v>
      </c>
      <c r="B705" s="508" t="s">
        <v>623</v>
      </c>
      <c r="C705" s="508" t="s">
        <v>397</v>
      </c>
      <c r="D705" s="509">
        <v>0.13800000000000001</v>
      </c>
      <c r="E705" s="509">
        <v>0.13800000000000001</v>
      </c>
      <c r="F705" s="509">
        <v>0.13800000000000001</v>
      </c>
      <c r="G705" s="509">
        <v>0.13800000000000001</v>
      </c>
      <c r="H705" s="509">
        <v>0.13800000000000001</v>
      </c>
      <c r="I705" s="509">
        <f>'Cálculos SJ6'!E44</f>
        <v>0.13800000000000001</v>
      </c>
      <c r="J705" s="508" t="s">
        <v>147</v>
      </c>
    </row>
    <row r="706" spans="1:10" ht="21" customHeight="1">
      <c r="A706" s="507" t="s">
        <v>758</v>
      </c>
      <c r="B706" s="508" t="s">
        <v>624</v>
      </c>
      <c r="C706" s="508" t="s">
        <v>411</v>
      </c>
      <c r="D706" s="509">
        <f>$D$661</f>
        <v>3.5700000000000003E-2</v>
      </c>
      <c r="E706" s="509">
        <f>$E$661</f>
        <v>3.5700000000000003E-2</v>
      </c>
      <c r="F706" s="509">
        <f>$F$661</f>
        <v>3.5700000000000003E-2</v>
      </c>
      <c r="G706" s="509">
        <f>$G$661</f>
        <v>3.5700000000000003E-2</v>
      </c>
      <c r="H706" s="509">
        <f>$H$661</f>
        <v>3.5700000000000003E-2</v>
      </c>
      <c r="I706" s="509">
        <f>$I$661</f>
        <v>3.5700000000000003E-2</v>
      </c>
      <c r="J706" s="508" t="s">
        <v>147</v>
      </c>
    </row>
    <row r="707" spans="1:10" ht="21" customHeight="1">
      <c r="A707" s="507" t="s">
        <v>758</v>
      </c>
      <c r="B707" s="508" t="s">
        <v>625</v>
      </c>
      <c r="C707" s="508" t="s">
        <v>411</v>
      </c>
      <c r="D707" s="509">
        <f>$D$674</f>
        <v>0</v>
      </c>
      <c r="E707" s="509">
        <f>$E$674</f>
        <v>0</v>
      </c>
      <c r="F707" s="509">
        <f>$F$674</f>
        <v>0</v>
      </c>
      <c r="G707" s="509">
        <f>$G$674</f>
        <v>1E-4</v>
      </c>
      <c r="H707" s="509">
        <f>$H$674</f>
        <v>0</v>
      </c>
      <c r="I707" s="509">
        <f>$I$674</f>
        <v>916670375.03999996</v>
      </c>
      <c r="J707" s="508" t="s">
        <v>147</v>
      </c>
    </row>
    <row r="708" spans="1:10" ht="21" customHeight="1">
      <c r="A708" s="507" t="s">
        <v>758</v>
      </c>
      <c r="B708" s="508" t="s">
        <v>626</v>
      </c>
      <c r="C708" s="508" t="s">
        <v>397</v>
      </c>
      <c r="D708" s="509">
        <v>1020</v>
      </c>
      <c r="E708" s="509">
        <v>1020</v>
      </c>
      <c r="F708" s="509">
        <v>1020</v>
      </c>
      <c r="G708" s="509">
        <v>1020</v>
      </c>
      <c r="H708" s="509">
        <v>1020</v>
      </c>
      <c r="I708" s="509">
        <f>'Cálculos SJ6'!O44</f>
        <v>1020</v>
      </c>
      <c r="J708" s="508" t="s">
        <v>147</v>
      </c>
    </row>
    <row r="709" spans="1:10" ht="21" customHeight="1">
      <c r="A709" s="507" t="s">
        <v>758</v>
      </c>
      <c r="B709" s="508" t="s">
        <v>627</v>
      </c>
      <c r="C709" s="508" t="s">
        <v>411</v>
      </c>
      <c r="D709" s="509">
        <f>$D$660</f>
        <v>6.6E-3</v>
      </c>
      <c r="E709" s="509">
        <f>$E$660</f>
        <v>6.6E-3</v>
      </c>
      <c r="F709" s="509">
        <f>$F$660</f>
        <v>6.6E-3</v>
      </c>
      <c r="G709" s="509">
        <f>$G$660</f>
        <v>6.6E-3</v>
      </c>
      <c r="H709" s="509">
        <f>$H$660</f>
        <v>6.6E-3</v>
      </c>
      <c r="I709" s="509">
        <f>$I$660</f>
        <v>6.6E-3</v>
      </c>
      <c r="J709" s="508" t="s">
        <v>147</v>
      </c>
    </row>
    <row r="710" spans="1:10" ht="21" customHeight="1">
      <c r="A710" s="507" t="s">
        <v>758</v>
      </c>
      <c r="B710" s="508" t="s">
        <v>527</v>
      </c>
      <c r="C710" s="508" t="s">
        <v>411</v>
      </c>
      <c r="D710" s="509">
        <f>($D$704*$D$705*$D$706+$D$707*$D$708*$D$709/1000000)/2000</f>
        <v>0</v>
      </c>
      <c r="E710" s="509">
        <f>($E$704*$E$705*$E$706+$E$707*$E$708*$E$709/1000000)/2000</f>
        <v>0</v>
      </c>
      <c r="F710" s="509">
        <f>($F$704*$F$705*$F$706+$F$707*$F$708*$F$709/1000000)/2000</f>
        <v>0</v>
      </c>
      <c r="G710" s="509">
        <f>($G$704*$G$705*$G$706+$G$707*$G$708*$G$709/1000000)/2000</f>
        <v>3.366E-13</v>
      </c>
      <c r="H710" s="509">
        <f>($H$704*$H$705*$H$706+$H$707*$H$708*$H$709/1000000)/2000</f>
        <v>0</v>
      </c>
      <c r="I710" s="509">
        <f>($I$704*$I$705*$I$706+$I$707*$I$708*$I$709/1000000)/2000</f>
        <v>3.0855124823846398</v>
      </c>
      <c r="J710" s="508"/>
    </row>
    <row r="711" spans="1:10" ht="21" customHeight="1">
      <c r="A711" s="507" t="s">
        <v>758</v>
      </c>
      <c r="B711" s="508" t="s">
        <v>628</v>
      </c>
      <c r="C711" s="508" t="s">
        <v>411</v>
      </c>
      <c r="D711" s="509">
        <f>$D$673</f>
        <v>0</v>
      </c>
      <c r="E711" s="509">
        <f>$E$673</f>
        <v>0</v>
      </c>
      <c r="F711" s="509">
        <f>$F$673</f>
        <v>0</v>
      </c>
      <c r="G711" s="509">
        <f>$G$673</f>
        <v>0</v>
      </c>
      <c r="H711" s="509">
        <f>$H$673</f>
        <v>0</v>
      </c>
      <c r="I711" s="509">
        <f>$I$673</f>
        <v>0</v>
      </c>
      <c r="J711" s="508" t="s">
        <v>148</v>
      </c>
    </row>
    <row r="712" spans="1:10" ht="21" customHeight="1">
      <c r="A712" s="507" t="s">
        <v>758</v>
      </c>
      <c r="B712" s="508" t="s">
        <v>629</v>
      </c>
      <c r="C712" s="508" t="s">
        <v>397</v>
      </c>
      <c r="D712" s="509">
        <v>0.13800000000000001</v>
      </c>
      <c r="E712" s="509">
        <v>0.13800000000000001</v>
      </c>
      <c r="F712" s="509">
        <v>0.13800000000000001</v>
      </c>
      <c r="G712" s="509">
        <v>0.13800000000000001</v>
      </c>
      <c r="H712" s="509">
        <v>0.13800000000000001</v>
      </c>
      <c r="I712" s="509">
        <f>'Cálculos SJ6'!E50</f>
        <v>0.13800000000000001</v>
      </c>
      <c r="J712" s="508" t="s">
        <v>148</v>
      </c>
    </row>
    <row r="713" spans="1:10" ht="21" customHeight="1">
      <c r="A713" s="507" t="s">
        <v>758</v>
      </c>
      <c r="B713" s="508" t="s">
        <v>630</v>
      </c>
      <c r="C713" s="508" t="s">
        <v>411</v>
      </c>
      <c r="D713" s="509">
        <f>$D$663</f>
        <v>3.5700000000000003E-2</v>
      </c>
      <c r="E713" s="509">
        <f>$E$663</f>
        <v>3.5700000000000003E-2</v>
      </c>
      <c r="F713" s="509">
        <f>$F$663</f>
        <v>3.5700000000000003E-2</v>
      </c>
      <c r="G713" s="509">
        <f>$G$663</f>
        <v>3.5700000000000003E-2</v>
      </c>
      <c r="H713" s="509">
        <f>$H$663</f>
        <v>3.5700000000000003E-2</v>
      </c>
      <c r="I713" s="509">
        <f>$I$663</f>
        <v>3.5700000000000003E-2</v>
      </c>
      <c r="J713" s="508" t="s">
        <v>148</v>
      </c>
    </row>
    <row r="714" spans="1:10" ht="21" customHeight="1">
      <c r="A714" s="507" t="s">
        <v>758</v>
      </c>
      <c r="B714" s="508" t="s">
        <v>631</v>
      </c>
      <c r="C714" s="508" t="s">
        <v>411</v>
      </c>
      <c r="D714" s="509">
        <f>$D$674</f>
        <v>0</v>
      </c>
      <c r="E714" s="509">
        <f>$E$674</f>
        <v>0</v>
      </c>
      <c r="F714" s="509">
        <f>$F$674</f>
        <v>0</v>
      </c>
      <c r="G714" s="509">
        <f>$G$674</f>
        <v>1E-4</v>
      </c>
      <c r="H714" s="509">
        <f>$H$674</f>
        <v>0</v>
      </c>
      <c r="I714" s="509">
        <f>$I$674</f>
        <v>916670375.03999996</v>
      </c>
      <c r="J714" s="508" t="s">
        <v>148</v>
      </c>
    </row>
    <row r="715" spans="1:10" ht="21" customHeight="1">
      <c r="A715" s="507" t="s">
        <v>758</v>
      </c>
      <c r="B715" s="508" t="s">
        <v>632</v>
      </c>
      <c r="C715" s="508" t="s">
        <v>397</v>
      </c>
      <c r="D715" s="509">
        <v>1020</v>
      </c>
      <c r="E715" s="509">
        <v>1020</v>
      </c>
      <c r="F715" s="509">
        <v>1020</v>
      </c>
      <c r="G715" s="509">
        <v>1020</v>
      </c>
      <c r="H715" s="509">
        <v>1020</v>
      </c>
      <c r="I715" s="509">
        <f>'Cálculos SJ6'!O50</f>
        <v>1020</v>
      </c>
      <c r="J715" s="508" t="s">
        <v>148</v>
      </c>
    </row>
    <row r="716" spans="1:10" ht="21" customHeight="1">
      <c r="A716" s="507" t="s">
        <v>758</v>
      </c>
      <c r="B716" s="508" t="s">
        <v>633</v>
      </c>
      <c r="C716" s="508" t="s">
        <v>411</v>
      </c>
      <c r="D716" s="509">
        <f>$D$662</f>
        <v>6.6E-3</v>
      </c>
      <c r="E716" s="509">
        <f>$E$662</f>
        <v>6.6E-3</v>
      </c>
      <c r="F716" s="509">
        <f>$F$662</f>
        <v>6.6E-3</v>
      </c>
      <c r="G716" s="509">
        <f>$G$662</f>
        <v>6.6E-3</v>
      </c>
      <c r="H716" s="509">
        <f>$H$662</f>
        <v>6.6E-3</v>
      </c>
      <c r="I716" s="509">
        <f>$I$662</f>
        <v>6.6E-3</v>
      </c>
      <c r="J716" s="508" t="s">
        <v>148</v>
      </c>
    </row>
    <row r="717" spans="1:10" ht="21" customHeight="1">
      <c r="A717" s="507" t="s">
        <v>758</v>
      </c>
      <c r="B717" s="508" t="s">
        <v>634</v>
      </c>
      <c r="C717" s="508" t="s">
        <v>411</v>
      </c>
      <c r="D717" s="509">
        <f>($D$711*$D$712*$D$713+$D$714*$D$715*$D$716/1000000)/2000</f>
        <v>0</v>
      </c>
      <c r="E717" s="509">
        <f>($E$711*$E$712*$E$713+$E$714*$E$715*$E$716/1000000)/2000</f>
        <v>0</v>
      </c>
      <c r="F717" s="509">
        <f>($F$711*$F$712*$F$713+$F$714*$F$715*$F$716/1000000)/2000</f>
        <v>0</v>
      </c>
      <c r="G717" s="509">
        <f>($G$711*$G$712*$G$713+$G$714*$G$715*$G$716/1000000)/2000</f>
        <v>3.366E-13</v>
      </c>
      <c r="H717" s="509">
        <f>($H$711*$H$712*$H$713+$H$714*$H$715*$H$716/1000000)/2000</f>
        <v>0</v>
      </c>
      <c r="I717" s="509">
        <f>($I$711*$I$712*$I$713+$I$714*$I$715*$I$716/1000000)/2000</f>
        <v>3.0855124823846398</v>
      </c>
      <c r="J717" s="508"/>
    </row>
    <row r="718" spans="1:10" ht="21" customHeight="1">
      <c r="A718" s="507" t="s">
        <v>758</v>
      </c>
      <c r="B718" s="508" t="s">
        <v>635</v>
      </c>
      <c r="C718" s="508" t="s">
        <v>411</v>
      </c>
      <c r="D718" s="509">
        <f>$D$673</f>
        <v>0</v>
      </c>
      <c r="E718" s="509">
        <f>$E$673</f>
        <v>0</v>
      </c>
      <c r="F718" s="509">
        <f>$F$673</f>
        <v>0</v>
      </c>
      <c r="G718" s="509">
        <f>$G$673</f>
        <v>0</v>
      </c>
      <c r="H718" s="509">
        <f>$H$673</f>
        <v>0</v>
      </c>
      <c r="I718" s="509">
        <f>$I$673</f>
        <v>0</v>
      </c>
      <c r="J718" s="508" t="s">
        <v>149</v>
      </c>
    </row>
    <row r="719" spans="1:10" ht="21" customHeight="1">
      <c r="A719" s="507" t="s">
        <v>758</v>
      </c>
      <c r="B719" s="508" t="s">
        <v>757</v>
      </c>
      <c r="C719" s="508" t="s">
        <v>397</v>
      </c>
      <c r="D719" s="509">
        <v>0.13800000000000001</v>
      </c>
      <c r="E719" s="509">
        <v>0.13800000000000001</v>
      </c>
      <c r="F719" s="509">
        <v>0.13800000000000001</v>
      </c>
      <c r="G719" s="509">
        <v>0.13800000000000001</v>
      </c>
      <c r="H719" s="509">
        <v>0.13800000000000001</v>
      </c>
      <c r="I719" s="509">
        <f>'Cálculos SJ6'!E56</f>
        <v>0.13800000000000001</v>
      </c>
      <c r="J719" s="508" t="s">
        <v>149</v>
      </c>
    </row>
    <row r="720" spans="1:10" ht="21" customHeight="1">
      <c r="A720" s="507" t="s">
        <v>758</v>
      </c>
      <c r="B720" s="508" t="s">
        <v>636</v>
      </c>
      <c r="C720" s="508" t="s">
        <v>411</v>
      </c>
      <c r="D720" s="509">
        <f>1.01*$D$675</f>
        <v>1.01E-2</v>
      </c>
      <c r="E720" s="509">
        <f>1.01*$E$675</f>
        <v>7.4739999999999995E-4</v>
      </c>
      <c r="F720" s="509">
        <f>1.01*$F$675</f>
        <v>6.0599999999999998E-4</v>
      </c>
      <c r="G720" s="509">
        <f>1.01*$G$675</f>
        <v>1.01E-3</v>
      </c>
      <c r="H720" s="509">
        <f>1.01*$H$675</f>
        <v>6.6660000000000005E-4</v>
      </c>
      <c r="I720" s="509">
        <f>1.01*$I$675</f>
        <v>7.0699999999999995E-4</v>
      </c>
      <c r="J720" s="508" t="s">
        <v>149</v>
      </c>
    </row>
    <row r="721" spans="1:10" ht="21" customHeight="1">
      <c r="A721" s="507" t="s">
        <v>758</v>
      </c>
      <c r="B721" s="508" t="s">
        <v>637</v>
      </c>
      <c r="C721" s="508" t="s">
        <v>411</v>
      </c>
      <c r="D721" s="509">
        <f>$D$674</f>
        <v>0</v>
      </c>
      <c r="E721" s="509">
        <f>$E$674</f>
        <v>0</v>
      </c>
      <c r="F721" s="509">
        <f>$F$674</f>
        <v>0</v>
      </c>
      <c r="G721" s="509">
        <f>$G$674</f>
        <v>1E-4</v>
      </c>
      <c r="H721" s="509">
        <f>$H$674</f>
        <v>0</v>
      </c>
      <c r="I721" s="509">
        <f>$I$674</f>
        <v>916670375.03999996</v>
      </c>
      <c r="J721" s="508" t="s">
        <v>149</v>
      </c>
    </row>
    <row r="722" spans="1:10" ht="21" customHeight="1">
      <c r="A722" s="507" t="s">
        <v>758</v>
      </c>
      <c r="B722" s="508" t="s">
        <v>638</v>
      </c>
      <c r="C722" s="508" t="s">
        <v>397</v>
      </c>
      <c r="D722" s="509">
        <v>1020</v>
      </c>
      <c r="E722" s="509">
        <v>1020</v>
      </c>
      <c r="F722" s="509">
        <v>1020</v>
      </c>
      <c r="G722" s="509">
        <v>1020</v>
      </c>
      <c r="H722" s="509">
        <v>1020</v>
      </c>
      <c r="I722" s="509">
        <f>'Cálculos SJ6'!O56</f>
        <v>1020</v>
      </c>
      <c r="J722" s="508" t="s">
        <v>149</v>
      </c>
    </row>
    <row r="723" spans="1:10" ht="21" customHeight="1">
      <c r="A723" s="507" t="s">
        <v>758</v>
      </c>
      <c r="B723" s="508" t="s">
        <v>639</v>
      </c>
      <c r="C723" s="508" t="s">
        <v>411</v>
      </c>
      <c r="D723" s="509">
        <f>$D$665</f>
        <v>2.8E-3</v>
      </c>
      <c r="E723" s="509">
        <f>$E$665</f>
        <v>2.8E-3</v>
      </c>
      <c r="F723" s="509">
        <f>$F$665</f>
        <v>2.8E-3</v>
      </c>
      <c r="G723" s="509">
        <f>$G$665</f>
        <v>2.8E-3</v>
      </c>
      <c r="H723" s="509">
        <f>$H$665</f>
        <v>2.8E-3</v>
      </c>
      <c r="I723" s="509">
        <f>$I$665</f>
        <v>2.8E-3</v>
      </c>
      <c r="J723" s="508" t="s">
        <v>149</v>
      </c>
    </row>
    <row r="724" spans="1:10" ht="21" customHeight="1">
      <c r="A724" s="507" t="s">
        <v>758</v>
      </c>
      <c r="B724" s="508" t="s">
        <v>641</v>
      </c>
      <c r="C724" s="508" t="s">
        <v>411</v>
      </c>
      <c r="D724" s="509">
        <f>($D$718*$D$719*$D$720+$D$721*$D$722*$D$723/1000000)/2000</f>
        <v>0</v>
      </c>
      <c r="E724" s="509">
        <f>($E$718*$E$719*$E$720+$E$721*$E$722*$E$723/1000000)/2000</f>
        <v>0</v>
      </c>
      <c r="F724" s="509">
        <f>($F$718*$F$719*$F$720+$F$721*$F$722*$F$723/1000000)/2000</f>
        <v>0</v>
      </c>
      <c r="G724" s="509">
        <f>($G$718*$G$719*$G$720+$G$721*$G$722*$G$723/1000000)/2000</f>
        <v>1.4280000000000001E-13</v>
      </c>
      <c r="H724" s="509">
        <f>($H$718*$H$719*$H$720+$H$721*$H$722*$H$723/1000000)/2000</f>
        <v>0</v>
      </c>
      <c r="I724" s="509">
        <f>($I$718*$I$719*$I$720+$I$721*$I$722*$I$723/1000000)/2000</f>
        <v>1.3090052955571199</v>
      </c>
      <c r="J724" s="508"/>
    </row>
    <row r="725" spans="1:10" ht="21" customHeight="1">
      <c r="A725" s="507" t="s">
        <v>758</v>
      </c>
      <c r="B725" s="508" t="s">
        <v>581</v>
      </c>
      <c r="C725" s="508" t="s">
        <v>411</v>
      </c>
      <c r="D725" s="509">
        <f>$D$673</f>
        <v>0</v>
      </c>
      <c r="E725" s="509">
        <f>$E$673</f>
        <v>0</v>
      </c>
      <c r="F725" s="509">
        <f>$F$673</f>
        <v>0</v>
      </c>
      <c r="G725" s="509">
        <f>$G$673</f>
        <v>0</v>
      </c>
      <c r="H725" s="509">
        <f>$H$673</f>
        <v>0</v>
      </c>
      <c r="I725" s="509">
        <f>$I$673</f>
        <v>0</v>
      </c>
      <c r="J725" s="508" t="s">
        <v>151</v>
      </c>
    </row>
    <row r="726" spans="1:10" ht="21" customHeight="1">
      <c r="A726" s="507" t="s">
        <v>758</v>
      </c>
      <c r="B726" s="508" t="s">
        <v>642</v>
      </c>
      <c r="C726" s="508" t="s">
        <v>397</v>
      </c>
      <c r="D726" s="509">
        <v>0.13800000000000001</v>
      </c>
      <c r="E726" s="509">
        <v>0.13800000000000001</v>
      </c>
      <c r="F726" s="509">
        <v>0.13800000000000001</v>
      </c>
      <c r="G726" s="509">
        <v>0.13800000000000001</v>
      </c>
      <c r="H726" s="509">
        <v>0.13800000000000001</v>
      </c>
      <c r="I726" s="509">
        <f>'Cálculos SJ6'!E62</f>
        <v>0.13800000000000001</v>
      </c>
      <c r="J726" s="508" t="s">
        <v>151</v>
      </c>
    </row>
    <row r="727" spans="1:10" ht="21" customHeight="1">
      <c r="A727" s="507" t="s">
        <v>758</v>
      </c>
      <c r="B727" s="508" t="s">
        <v>643</v>
      </c>
      <c r="C727" s="508" t="s">
        <v>411</v>
      </c>
      <c r="D727" s="509">
        <f>$D$667</f>
        <v>7.7000000000000002E-3</v>
      </c>
      <c r="E727" s="509">
        <f>$E$667</f>
        <v>7.7000000000000002E-3</v>
      </c>
      <c r="F727" s="509">
        <f>$F$667</f>
        <v>7.7000000000000002E-3</v>
      </c>
      <c r="G727" s="509">
        <f>$G$667</f>
        <v>7.7000000000000002E-3</v>
      </c>
      <c r="H727" s="509">
        <f>$H$667</f>
        <v>7.7000000000000002E-3</v>
      </c>
      <c r="I727" s="509">
        <f>$I$667</f>
        <v>7.7000000000000002E-3</v>
      </c>
      <c r="J727" s="508" t="s">
        <v>151</v>
      </c>
    </row>
    <row r="728" spans="1:10" ht="21" customHeight="1">
      <c r="A728" s="507" t="s">
        <v>758</v>
      </c>
      <c r="B728" s="508" t="s">
        <v>644</v>
      </c>
      <c r="C728" s="508" t="s">
        <v>411</v>
      </c>
      <c r="D728" s="509">
        <f>$D$674</f>
        <v>0</v>
      </c>
      <c r="E728" s="509">
        <f>$E$674</f>
        <v>0</v>
      </c>
      <c r="F728" s="509">
        <f>$F$674</f>
        <v>0</v>
      </c>
      <c r="G728" s="509">
        <f>$G$674</f>
        <v>1E-4</v>
      </c>
      <c r="H728" s="509">
        <f>$H$674</f>
        <v>0</v>
      </c>
      <c r="I728" s="509">
        <f>$I$674</f>
        <v>916670375.03999996</v>
      </c>
      <c r="J728" s="508" t="s">
        <v>151</v>
      </c>
    </row>
    <row r="729" spans="1:10" ht="21" customHeight="1">
      <c r="A729" s="507" t="s">
        <v>758</v>
      </c>
      <c r="B729" s="508" t="s">
        <v>645</v>
      </c>
      <c r="C729" s="508" t="s">
        <v>397</v>
      </c>
      <c r="D729" s="509">
        <v>1020</v>
      </c>
      <c r="E729" s="509">
        <v>1020</v>
      </c>
      <c r="F729" s="509">
        <v>1020</v>
      </c>
      <c r="G729" s="509">
        <v>1020</v>
      </c>
      <c r="H729" s="509">
        <v>1020</v>
      </c>
      <c r="I729" s="509">
        <f>'Cálculos SJ6'!O62</f>
        <v>1020</v>
      </c>
      <c r="J729" s="508" t="s">
        <v>151</v>
      </c>
    </row>
    <row r="730" spans="1:10" ht="21" customHeight="1">
      <c r="A730" s="507" t="s">
        <v>758</v>
      </c>
      <c r="B730" s="508" t="s">
        <v>646</v>
      </c>
      <c r="C730" s="508" t="s">
        <v>411</v>
      </c>
      <c r="D730" s="509">
        <f>$D$666</f>
        <v>4.2999999999999999E-4</v>
      </c>
      <c r="E730" s="509">
        <f>$E$666</f>
        <v>4.2999999999999999E-4</v>
      </c>
      <c r="F730" s="509">
        <f>$F$666</f>
        <v>4.2999999999999999E-4</v>
      </c>
      <c r="G730" s="509">
        <f>$G$666</f>
        <v>4.2999999999999999E-4</v>
      </c>
      <c r="H730" s="509">
        <f>$H$666</f>
        <v>4.2999999999999999E-4</v>
      </c>
      <c r="I730" s="509">
        <f>$I$666</f>
        <v>4.2999999999999999E-4</v>
      </c>
      <c r="J730" s="508" t="s">
        <v>151</v>
      </c>
    </row>
    <row r="731" spans="1:10" ht="21" customHeight="1">
      <c r="A731" s="507" t="s">
        <v>758</v>
      </c>
      <c r="B731" s="508" t="s">
        <v>647</v>
      </c>
      <c r="C731" s="508" t="s">
        <v>411</v>
      </c>
      <c r="D731" s="509">
        <f>($D$725*$D$726*$D$727+$D$728*$D$729*$D$730/1000000)/2000</f>
        <v>0</v>
      </c>
      <c r="E731" s="509">
        <f>($E$725*$E$726*$E$727+$E$728*$E$729*$E$730/1000000)/2000</f>
        <v>0</v>
      </c>
      <c r="F731" s="509">
        <f>($F$725*$F$726*$F$727+$F$728*$F$729*$F$730/1000000)/2000</f>
        <v>0</v>
      </c>
      <c r="G731" s="509">
        <f>($G$725*$G$726*$G$727+$G$728*$G$729*$G$730/1000000)/2000</f>
        <v>2.1930000000000001E-14</v>
      </c>
      <c r="H731" s="509">
        <f>($H$725*$H$726*$H$727+$H$728*$H$729*$H$730/1000000)/2000</f>
        <v>0</v>
      </c>
      <c r="I731" s="509">
        <f>($I$725*$I$726*$I$727+$I$728*$I$729*$I$730/1000000)/2000</f>
        <v>0.20102581324627197</v>
      </c>
      <c r="J731" s="508"/>
    </row>
    <row r="732" spans="1:10" ht="21" customHeight="1">
      <c r="A732" s="507" t="s">
        <v>758</v>
      </c>
      <c r="B732" s="508" t="s">
        <v>648</v>
      </c>
      <c r="C732" s="508" t="s">
        <v>411</v>
      </c>
      <c r="D732" s="509">
        <f>$D$673</f>
        <v>0</v>
      </c>
      <c r="E732" s="509">
        <f>$E$673</f>
        <v>0</v>
      </c>
      <c r="F732" s="509">
        <f>$F$673</f>
        <v>0</v>
      </c>
      <c r="G732" s="509">
        <f>$G$673</f>
        <v>0</v>
      </c>
      <c r="H732" s="509">
        <f>$H$673</f>
        <v>0</v>
      </c>
      <c r="I732" s="509">
        <f>$I$673</f>
        <v>0</v>
      </c>
      <c r="J732" s="508" t="s">
        <v>152</v>
      </c>
    </row>
    <row r="733" spans="1:10" ht="21" customHeight="1">
      <c r="A733" s="507" t="s">
        <v>758</v>
      </c>
      <c r="B733" s="508" t="s">
        <v>649</v>
      </c>
      <c r="C733" s="508" t="s">
        <v>397</v>
      </c>
      <c r="D733" s="509">
        <v>0.13800000000000001</v>
      </c>
      <c r="E733" s="509">
        <v>0.13800000000000001</v>
      </c>
      <c r="F733" s="509">
        <v>0.13800000000000001</v>
      </c>
      <c r="G733" s="509">
        <v>0.13800000000000001</v>
      </c>
      <c r="H733" s="509">
        <v>0.13800000000000001</v>
      </c>
      <c r="I733" s="509">
        <f>'Cálculos SJ6'!E68</f>
        <v>0.13800000000000001</v>
      </c>
      <c r="J733" s="508" t="s">
        <v>152</v>
      </c>
    </row>
    <row r="734" spans="1:10" ht="21" customHeight="1">
      <c r="A734" s="507" t="s">
        <v>758</v>
      </c>
      <c r="B734" s="508" t="s">
        <v>650</v>
      </c>
      <c r="C734" s="508" t="s">
        <v>411</v>
      </c>
      <c r="D734" s="509">
        <f>$D$671</f>
        <v>9.0000000000000002E-6</v>
      </c>
      <c r="E734" s="509">
        <f>$E$671</f>
        <v>9.0000000000000002E-6</v>
      </c>
      <c r="F734" s="509">
        <f>$F$671</f>
        <v>9.0000000000000002E-6</v>
      </c>
      <c r="G734" s="509">
        <f>$G$671</f>
        <v>9.0000000000000002E-6</v>
      </c>
      <c r="H734" s="509">
        <f>$H$671</f>
        <v>9.0000000000000002E-6</v>
      </c>
      <c r="I734" s="509">
        <f>$I$671</f>
        <v>9.0000000000000002E-6</v>
      </c>
      <c r="J734" s="508" t="s">
        <v>152</v>
      </c>
    </row>
    <row r="735" spans="1:10" ht="21" customHeight="1">
      <c r="A735" s="507" t="s">
        <v>758</v>
      </c>
      <c r="B735" s="508" t="s">
        <v>651</v>
      </c>
      <c r="C735" s="508" t="s">
        <v>411</v>
      </c>
      <c r="D735" s="509">
        <f>$D$674</f>
        <v>0</v>
      </c>
      <c r="E735" s="509">
        <f>$E$674</f>
        <v>0</v>
      </c>
      <c r="F735" s="509">
        <f>$F$674</f>
        <v>0</v>
      </c>
      <c r="G735" s="509">
        <f>$G$674</f>
        <v>1E-4</v>
      </c>
      <c r="H735" s="509">
        <f>$H$674</f>
        <v>0</v>
      </c>
      <c r="I735" s="509">
        <f>$I$674</f>
        <v>916670375.03999996</v>
      </c>
      <c r="J735" s="508" t="s">
        <v>152</v>
      </c>
    </row>
    <row r="736" spans="1:10" ht="21" customHeight="1">
      <c r="A736" s="507" t="s">
        <v>758</v>
      </c>
      <c r="B736" s="508" t="s">
        <v>652</v>
      </c>
      <c r="C736" s="508" t="s">
        <v>397</v>
      </c>
      <c r="D736" s="509">
        <v>1020</v>
      </c>
      <c r="E736" s="509">
        <v>1020</v>
      </c>
      <c r="F736" s="509">
        <v>1020</v>
      </c>
      <c r="G736" s="509">
        <v>1020</v>
      </c>
      <c r="H736" s="509">
        <v>1020</v>
      </c>
      <c r="I736" s="509">
        <f>'Cálculos SJ6'!O68</f>
        <v>1020</v>
      </c>
      <c r="J736" s="508" t="s">
        <v>152</v>
      </c>
    </row>
    <row r="737" spans="1:10" ht="21" customHeight="1">
      <c r="A737" s="507" t="s">
        <v>758</v>
      </c>
      <c r="B737" s="508" t="s">
        <v>653</v>
      </c>
      <c r="C737" s="508" t="s">
        <v>411</v>
      </c>
      <c r="D737" s="509">
        <f>$D$670</f>
        <v>0</v>
      </c>
      <c r="E737" s="509">
        <f>$E$670</f>
        <v>0</v>
      </c>
      <c r="F737" s="509">
        <f>$F$670</f>
        <v>0</v>
      </c>
      <c r="G737" s="509">
        <f>$G$670</f>
        <v>0</v>
      </c>
      <c r="H737" s="509">
        <f>$H$670</f>
        <v>0</v>
      </c>
      <c r="I737" s="509">
        <f>$I$670</f>
        <v>0</v>
      </c>
      <c r="J737" s="508" t="s">
        <v>152</v>
      </c>
    </row>
    <row r="738" spans="1:10" ht="21" customHeight="1">
      <c r="A738" s="507" t="s">
        <v>758</v>
      </c>
      <c r="B738" s="508" t="s">
        <v>586</v>
      </c>
      <c r="C738" s="508" t="s">
        <v>411</v>
      </c>
      <c r="D738" s="509">
        <f>($D$732*$D$733*$D$734+$D$735*$D$736*$D$737/1000000)/2000</f>
        <v>0</v>
      </c>
      <c r="E738" s="509">
        <f>($E$732*$E$733*$E$734+$E$735*$E$736*$E$737/1000000)/2000</f>
        <v>0</v>
      </c>
      <c r="F738" s="509">
        <f>($F$732*$F$733*$F$734+$F$735*$F$736*$F$737/1000000)/2000</f>
        <v>0</v>
      </c>
      <c r="G738" s="509">
        <f>($G$732*$G$733*$G$734+$G$735*$G$736*$G$737/1000000)/2000</f>
        <v>0</v>
      </c>
      <c r="H738" s="509">
        <f>($H$732*$H$733*$H$734+$H$735*$H$736*$H$737/1000000)/2000</f>
        <v>0</v>
      </c>
      <c r="I738" s="509">
        <f>($I$732*$I$733*$I$734+$I$735*$I$736*$I$737/1000000)/2000</f>
        <v>0</v>
      </c>
      <c r="J738" s="508"/>
    </row>
    <row r="739" spans="1:10" ht="21" customHeight="1">
      <c r="A739" s="507" t="s">
        <v>758</v>
      </c>
      <c r="B739" s="508" t="s">
        <v>654</v>
      </c>
      <c r="C739" s="508" t="s">
        <v>411</v>
      </c>
      <c r="D739" s="509">
        <f>$D$673</f>
        <v>0</v>
      </c>
      <c r="E739" s="509">
        <f>$E$673</f>
        <v>0</v>
      </c>
      <c r="F739" s="509">
        <f>$F$673</f>
        <v>0</v>
      </c>
      <c r="G739" s="509">
        <f>$G$673</f>
        <v>0</v>
      </c>
      <c r="H739" s="509">
        <f>$H$673</f>
        <v>0</v>
      </c>
      <c r="I739" s="509">
        <f>$I$673</f>
        <v>0</v>
      </c>
      <c r="J739" s="508" t="s">
        <v>153</v>
      </c>
    </row>
    <row r="740" spans="1:10" ht="21" customHeight="1">
      <c r="A740" s="507" t="s">
        <v>758</v>
      </c>
      <c r="B740" s="508" t="s">
        <v>655</v>
      </c>
      <c r="C740" s="508" t="s">
        <v>411</v>
      </c>
      <c r="D740" s="509">
        <f>$D$669</f>
        <v>22.578420600240001</v>
      </c>
      <c r="E740" s="509">
        <f>$E$669</f>
        <v>22.578420600240001</v>
      </c>
      <c r="F740" s="509">
        <f>$F$669</f>
        <v>22.578420600240001</v>
      </c>
      <c r="G740" s="509">
        <f>$G$669</f>
        <v>22.578420600240001</v>
      </c>
      <c r="H740" s="509">
        <f>$H$669</f>
        <v>22.578420600240001</v>
      </c>
      <c r="I740" s="509">
        <f>$I$669</f>
        <v>22.578420600240001</v>
      </c>
      <c r="J740" s="508" t="s">
        <v>153</v>
      </c>
    </row>
    <row r="741" spans="1:10" ht="21" customHeight="1">
      <c r="A741" s="507" t="s">
        <v>758</v>
      </c>
      <c r="B741" s="508" t="s">
        <v>656</v>
      </c>
      <c r="C741" s="508" t="s">
        <v>411</v>
      </c>
      <c r="D741" s="509">
        <f>$D$674</f>
        <v>0</v>
      </c>
      <c r="E741" s="509">
        <f>$E$674</f>
        <v>0</v>
      </c>
      <c r="F741" s="509">
        <f>$F$674</f>
        <v>0</v>
      </c>
      <c r="G741" s="509">
        <f>$G$674</f>
        <v>1E-4</v>
      </c>
      <c r="H741" s="509">
        <f>$H$674</f>
        <v>0</v>
      </c>
      <c r="I741" s="509">
        <f>$I$674</f>
        <v>916670375.03999996</v>
      </c>
      <c r="J741" s="508" t="s">
        <v>153</v>
      </c>
    </row>
    <row r="742" spans="1:10" ht="21" customHeight="1">
      <c r="A742" s="507" t="s">
        <v>758</v>
      </c>
      <c r="B742" s="508" t="s">
        <v>657</v>
      </c>
      <c r="C742" s="508" t="s">
        <v>411</v>
      </c>
      <c r="D742" s="509">
        <f>$D$672</f>
        <v>0.12049378638965323</v>
      </c>
      <c r="E742" s="509">
        <f>$E$672</f>
        <v>0.12049378638965323</v>
      </c>
      <c r="F742" s="509">
        <f>$F$672</f>
        <v>0.12049378638965323</v>
      </c>
      <c r="G742" s="509">
        <f>$G$672</f>
        <v>0.12049378638965323</v>
      </c>
      <c r="H742" s="509">
        <f>$H$672</f>
        <v>0.12049378638965323</v>
      </c>
      <c r="I742" s="509">
        <f>$I$672</f>
        <v>0.12049378638965323</v>
      </c>
      <c r="J742" s="508" t="s">
        <v>153</v>
      </c>
    </row>
    <row r="743" spans="1:10" ht="21" customHeight="1">
      <c r="A743" s="507" t="s">
        <v>758</v>
      </c>
      <c r="B743" s="508" t="s">
        <v>658</v>
      </c>
      <c r="C743" s="508" t="s">
        <v>397</v>
      </c>
      <c r="D743" s="509">
        <v>2000</v>
      </c>
      <c r="E743" s="509">
        <v>2000</v>
      </c>
      <c r="F743" s="509">
        <v>2000</v>
      </c>
      <c r="G743" s="509">
        <v>2000</v>
      </c>
      <c r="H743" s="509">
        <v>2000</v>
      </c>
      <c r="I743" s="509">
        <f>'Cálculos SJ6'!H75</f>
        <v>2000</v>
      </c>
      <c r="J743" s="508"/>
    </row>
    <row r="744" spans="1:10" ht="21" customHeight="1">
      <c r="A744" s="507" t="s">
        <v>758</v>
      </c>
      <c r="B744" s="508" t="s">
        <v>659</v>
      </c>
      <c r="C744" s="508" t="s">
        <v>411</v>
      </c>
      <c r="D744" s="509">
        <f>($D$739*$D$740+$D$741*$D$742)/$D$743</f>
        <v>0</v>
      </c>
      <c r="E744" s="509">
        <f>($E$739*$E$740+$E$741*$E$742)/$E$743</f>
        <v>0</v>
      </c>
      <c r="F744" s="509">
        <f>($F$739*$F$740+$F$741*$F$742)/$F$743</f>
        <v>0</v>
      </c>
      <c r="G744" s="509">
        <f>($G$739*$G$740+$G$741*$G$742)/$G$743</f>
        <v>6.0246893194826623E-9</v>
      </c>
      <c r="H744" s="509">
        <f>($H$739*$H$740+$H$741*$H$742)/$H$743</f>
        <v>0</v>
      </c>
      <c r="I744" s="509">
        <f>($I$739*$I$740+$I$741*$I$742)/$I$743</f>
        <v>55226.542179896533</v>
      </c>
      <c r="J744" s="508"/>
    </row>
    <row r="745" spans="1:10" ht="21" customHeight="1">
      <c r="A745" s="510" t="s">
        <v>759</v>
      </c>
      <c r="B745" s="506"/>
      <c r="C745" s="506"/>
      <c r="D745" s="511"/>
      <c r="E745" s="511"/>
      <c r="F745" s="511"/>
      <c r="G745" s="511"/>
      <c r="H745" s="511"/>
      <c r="I745" s="512"/>
      <c r="J745" s="506"/>
    </row>
    <row r="746" spans="1:10" ht="21" customHeight="1">
      <c r="A746" s="507" t="s">
        <v>759</v>
      </c>
      <c r="B746" s="508" t="s">
        <v>661</v>
      </c>
      <c r="C746" s="508" t="s">
        <v>411</v>
      </c>
      <c r="D746" s="509">
        <f>$D$517+$D$609+$D$703</f>
        <v>6.65210105853276</v>
      </c>
      <c r="E746" s="509">
        <f>$E$517+$E$609+$E$703</f>
        <v>9.0407409144955189</v>
      </c>
      <c r="F746" s="509">
        <f>$F$517+$F$609+$F$703</f>
        <v>9.6363334717390803</v>
      </c>
      <c r="G746" s="509">
        <f>$G$517+$G$609+$G$703</f>
        <v>13.457678977466975</v>
      </c>
      <c r="H746" s="509">
        <f>$H$517+$H$609+$H$703</f>
        <v>12.5445657951702</v>
      </c>
      <c r="I746" s="509">
        <f>$I$517+$I$609+$I$703</f>
        <v>9.9134503458060603</v>
      </c>
      <c r="J746" s="508" t="s">
        <v>11</v>
      </c>
    </row>
    <row r="747" spans="1:10" ht="21" customHeight="1">
      <c r="A747" s="507" t="s">
        <v>759</v>
      </c>
      <c r="B747" s="508" t="s">
        <v>662</v>
      </c>
      <c r="C747" s="508" t="s">
        <v>411</v>
      </c>
      <c r="D747" s="509">
        <f>$D$512+$D$616+$D$710</f>
        <v>7.7257350978327599</v>
      </c>
      <c r="E747" s="509">
        <f>$E$512+$E$616+$E$710</f>
        <v>10.954618568057519</v>
      </c>
      <c r="F747" s="509">
        <f>$F$512+$F$616+$F$710</f>
        <v>11.808578516905079</v>
      </c>
      <c r="G747" s="509">
        <f>$G$512+$G$616+$G$710</f>
        <v>16.772661677348978</v>
      </c>
      <c r="H747" s="509">
        <f>$H$512+$H$616+$H$710</f>
        <v>15.510460497136201</v>
      </c>
      <c r="I747" s="509">
        <f>$I$512+$I$616+$I$710</f>
        <v>11.05487931122406</v>
      </c>
      <c r="J747" s="508" t="s">
        <v>12</v>
      </c>
    </row>
    <row r="748" spans="1:10" ht="21" customHeight="1">
      <c r="A748" s="507" t="s">
        <v>759</v>
      </c>
      <c r="B748" s="508" t="s">
        <v>663</v>
      </c>
      <c r="C748" s="508" t="s">
        <v>411</v>
      </c>
      <c r="D748" s="509">
        <f>$D$527+$D$630+$D$724</f>
        <v>50.125231013232082</v>
      </c>
      <c r="E748" s="509">
        <f>$E$527+$E$630+$E$724</f>
        <v>89.042530637663305</v>
      </c>
      <c r="F748" s="509">
        <f>$F$527+$F$630+$F$724</f>
        <v>61.767045444635158</v>
      </c>
      <c r="G748" s="509">
        <f>$G$527+$G$630+$G$724</f>
        <v>130.26288502386868</v>
      </c>
      <c r="H748" s="509">
        <f>$H$527+$H$630+$H$724</f>
        <v>112.91099921885136</v>
      </c>
      <c r="I748" s="509">
        <f>$I$527+$I$630+$I$724</f>
        <v>50.070976904342089</v>
      </c>
      <c r="J748" s="508" t="s">
        <v>13</v>
      </c>
    </row>
    <row r="749" spans="1:10" ht="21" customHeight="1">
      <c r="A749" s="507" t="s">
        <v>759</v>
      </c>
      <c r="B749" s="508" t="s">
        <v>664</v>
      </c>
      <c r="C749" s="508" t="s">
        <v>411</v>
      </c>
      <c r="D749" s="509">
        <f>$D$532+$D$537+$D$588+$D$682</f>
        <v>68.484657523206309</v>
      </c>
      <c r="E749" s="509">
        <f>$E$532+$E$537+$E$588+$E$682</f>
        <v>83.195873728015528</v>
      </c>
      <c r="F749" s="509">
        <f>$F$532+$F$537+$F$588+$F$682</f>
        <v>73.950231815786765</v>
      </c>
      <c r="G749" s="509">
        <f>$G$532+$G$537+$G$588+$G$682</f>
        <v>105.88885367200528</v>
      </c>
      <c r="H749" s="509">
        <f>$H$532+$H$537+$H$588+$H$682</f>
        <v>98.573426563640695</v>
      </c>
      <c r="I749" s="509">
        <f>$I$532+$I$537+$I$588+$I$682</f>
        <v>110.65008691236142</v>
      </c>
      <c r="J749" s="508" t="s">
        <v>14</v>
      </c>
    </row>
    <row r="750" spans="1:10" ht="21" customHeight="1">
      <c r="A750" s="507" t="s">
        <v>759</v>
      </c>
      <c r="B750" s="508" t="s">
        <v>665</v>
      </c>
      <c r="C750" s="508" t="s">
        <v>411</v>
      </c>
      <c r="D750" s="509">
        <f>$D$547+$D$595+$D$689</f>
        <v>14.624823582616733</v>
      </c>
      <c r="E750" s="509">
        <f>$E$547+$E$595+$E$689</f>
        <v>16.610418957742638</v>
      </c>
      <c r="F750" s="509">
        <f>$F$547+$F$595+$F$689</f>
        <v>13.587211762502523</v>
      </c>
      <c r="G750" s="509">
        <f>$G$547+$G$595+$G$689</f>
        <v>19.28670334151353</v>
      </c>
      <c r="H750" s="509">
        <f>$H$547+$H$595+$H$689</f>
        <v>18.113921519496408</v>
      </c>
      <c r="I750" s="509">
        <f>$I$547+$I$595+$I$689</f>
        <v>24.685851319407288</v>
      </c>
      <c r="J750" s="508" t="s">
        <v>760</v>
      </c>
    </row>
    <row r="751" spans="1:10" ht="21" customHeight="1">
      <c r="A751" s="507" t="s">
        <v>759</v>
      </c>
      <c r="B751" s="508" t="s">
        <v>565</v>
      </c>
      <c r="C751" s="508" t="s">
        <v>411</v>
      </c>
      <c r="D751" s="509">
        <f>$D$542+$D$602+$D$696</f>
        <v>1.6778240725240603</v>
      </c>
      <c r="E751" s="509">
        <f>$E$542+$E$602+$E$696</f>
        <v>2.08661091102912</v>
      </c>
      <c r="F751" s="509">
        <f>$F$542+$F$602+$F$696</f>
        <v>2.38469407443498</v>
      </c>
      <c r="G751" s="509">
        <f>$G$542+$G$602+$G$696</f>
        <v>3.0507973727709472</v>
      </c>
      <c r="H751" s="509">
        <f>$H$542+$H$602+$H$696</f>
        <v>2.9484667626267003</v>
      </c>
      <c r="I751" s="509">
        <f>$I$542+$I$602+$I$696</f>
        <v>2.72333371623411</v>
      </c>
      <c r="J751" s="508" t="s">
        <v>16</v>
      </c>
    </row>
    <row r="752" spans="1:10" ht="21" customHeight="1">
      <c r="A752" s="507" t="s">
        <v>759</v>
      </c>
      <c r="B752" s="508" t="s">
        <v>666</v>
      </c>
      <c r="C752" s="508" t="s">
        <v>411</v>
      </c>
      <c r="D752" s="509">
        <f>$D$552+$D$644+$D$738</f>
        <v>1.1082389740000001E-3</v>
      </c>
      <c r="E752" s="509">
        <f>$E$552+$E$644+$E$738</f>
        <v>1.9704416415600003E-3</v>
      </c>
      <c r="F752" s="509">
        <f>$F$552+$F$644+$F$738</f>
        <v>2.3767460635800001E-3</v>
      </c>
      <c r="G752" s="509">
        <f>$G$552+$G$644+$G$738</f>
        <v>3.5023488309600006E-3</v>
      </c>
      <c r="H752" s="509">
        <f>$H$552+$H$644+$H$738</f>
        <v>3.1717003432800003E-3</v>
      </c>
      <c r="I752" s="509">
        <f>$I$552+$I$644+$I$738</f>
        <v>1.2013694477400001E-3</v>
      </c>
      <c r="J752" s="508" t="s">
        <v>761</v>
      </c>
    </row>
    <row r="753" spans="1:10" ht="21" customHeight="1">
      <c r="A753" s="507" t="s">
        <v>759</v>
      </c>
      <c r="B753" s="508" t="s">
        <v>668</v>
      </c>
      <c r="C753" s="508" t="s">
        <v>411</v>
      </c>
      <c r="D753" s="509">
        <f>$D$556+$D$650+$D$744</f>
        <v>78002.132995267311</v>
      </c>
      <c r="E753" s="509">
        <f>$E$556+$E$650+$E$744</f>
        <v>88849.305321668508</v>
      </c>
      <c r="F753" s="509">
        <f>$F$556+$F$650+$F$744</f>
        <v>83383.297682857752</v>
      </c>
      <c r="G753" s="509">
        <f>$G$556+$G$650+$G$744</f>
        <v>110489.83635319267</v>
      </c>
      <c r="H753" s="509">
        <f>$H$556+$H$650+$H$744</f>
        <v>106169.21189240928</v>
      </c>
      <c r="I753" s="509">
        <f>$I$556+$I$650+$I$744</f>
        <v>132747.51963412506</v>
      </c>
      <c r="J753" s="508" t="s">
        <v>671</v>
      </c>
    </row>
    <row r="754" spans="1:10" ht="21" customHeight="1">
      <c r="A754" s="510" t="s">
        <v>30</v>
      </c>
      <c r="B754" s="506"/>
      <c r="C754" s="506"/>
      <c r="D754" s="511"/>
      <c r="E754" s="511"/>
      <c r="F754" s="511"/>
      <c r="G754" s="511"/>
      <c r="H754" s="511"/>
      <c r="I754" s="512"/>
      <c r="J754" s="506"/>
    </row>
    <row r="755" spans="1:10" ht="21" customHeight="1">
      <c r="A755" s="507" t="s">
        <v>30</v>
      </c>
      <c r="B755" s="508" t="s">
        <v>400</v>
      </c>
      <c r="C755" s="508" t="s">
        <v>397</v>
      </c>
      <c r="D755" s="509">
        <v>0</v>
      </c>
      <c r="E755" s="509"/>
      <c r="F755" s="509"/>
      <c r="G755" s="509"/>
      <c r="H755" s="509"/>
      <c r="I755" s="509"/>
      <c r="J755" s="508" t="s">
        <v>401</v>
      </c>
    </row>
    <row r="756" spans="1:10" ht="21" customHeight="1">
      <c r="A756" s="507" t="s">
        <v>30</v>
      </c>
      <c r="B756" s="508" t="s">
        <v>402</v>
      </c>
      <c r="C756" s="508" t="s">
        <v>397</v>
      </c>
      <c r="D756" s="509">
        <v>11653643</v>
      </c>
      <c r="E756" s="509"/>
      <c r="F756" s="509"/>
      <c r="G756" s="509"/>
      <c r="H756" s="509"/>
      <c r="I756" s="509"/>
      <c r="J756" s="508" t="s">
        <v>401</v>
      </c>
    </row>
    <row r="757" spans="1:10" ht="21" customHeight="1">
      <c r="A757" s="507" t="s">
        <v>30</v>
      </c>
      <c r="B757" s="508" t="s">
        <v>403</v>
      </c>
      <c r="C757" s="508" t="s">
        <v>411</v>
      </c>
      <c r="D757" s="509">
        <f>$D$755+$D$756</f>
        <v>11653643</v>
      </c>
      <c r="E757" s="509"/>
      <c r="F757" s="509"/>
      <c r="G757" s="509"/>
      <c r="H757" s="509"/>
      <c r="I757" s="509"/>
      <c r="J757" s="508" t="s">
        <v>401</v>
      </c>
    </row>
    <row r="758" spans="1:10" ht="21" customHeight="1">
      <c r="A758" s="507" t="s">
        <v>30</v>
      </c>
      <c r="B758" s="508" t="s">
        <v>405</v>
      </c>
      <c r="C758" s="508" t="s">
        <v>397</v>
      </c>
      <c r="D758" s="509">
        <v>0.43</v>
      </c>
      <c r="E758" s="509"/>
      <c r="F758" s="509"/>
      <c r="G758" s="509"/>
      <c r="H758" s="509"/>
      <c r="I758" s="509"/>
      <c r="J758" s="508" t="s">
        <v>401</v>
      </c>
    </row>
    <row r="759" spans="1:10" ht="21" customHeight="1">
      <c r="A759" s="507" t="s">
        <v>30</v>
      </c>
      <c r="B759" s="508" t="s">
        <v>406</v>
      </c>
      <c r="C759" s="508" t="s">
        <v>397</v>
      </c>
      <c r="D759" s="509">
        <v>0.43</v>
      </c>
      <c r="E759" s="509"/>
      <c r="F759" s="509"/>
      <c r="G759" s="509"/>
      <c r="H759" s="509"/>
      <c r="I759" s="509"/>
      <c r="J759" s="508" t="s">
        <v>401</v>
      </c>
    </row>
    <row r="760" spans="1:10" ht="21" customHeight="1">
      <c r="A760" s="507" t="s">
        <v>30</v>
      </c>
      <c r="B760" s="508" t="s">
        <v>407</v>
      </c>
      <c r="C760" s="508" t="s">
        <v>397</v>
      </c>
      <c r="D760" s="509"/>
      <c r="E760" s="509">
        <v>0</v>
      </c>
      <c r="F760" s="509"/>
      <c r="G760" s="509"/>
      <c r="H760" s="509"/>
      <c r="I760" s="509"/>
      <c r="J760" s="508" t="s">
        <v>412</v>
      </c>
    </row>
    <row r="761" spans="1:10" ht="21" customHeight="1">
      <c r="A761" s="507" t="s">
        <v>30</v>
      </c>
      <c r="B761" s="508" t="s">
        <v>409</v>
      </c>
      <c r="C761" s="508" t="s">
        <v>397</v>
      </c>
      <c r="D761" s="509"/>
      <c r="E761" s="509">
        <v>202971.95</v>
      </c>
      <c r="F761" s="509"/>
      <c r="G761" s="509"/>
      <c r="H761" s="509"/>
      <c r="I761" s="509"/>
      <c r="J761" s="508" t="s">
        <v>412</v>
      </c>
    </row>
    <row r="762" spans="1:10" ht="21" customHeight="1">
      <c r="A762" s="507" t="s">
        <v>30</v>
      </c>
      <c r="B762" s="508" t="s">
        <v>410</v>
      </c>
      <c r="C762" s="508" t="s">
        <v>411</v>
      </c>
      <c r="D762" s="509"/>
      <c r="E762" s="509">
        <f>SUM($E$760*42)</f>
        <v>0</v>
      </c>
      <c r="F762" s="509"/>
      <c r="G762" s="509"/>
      <c r="H762" s="509"/>
      <c r="I762" s="509"/>
      <c r="J762" s="508" t="s">
        <v>412</v>
      </c>
    </row>
    <row r="763" spans="1:10" ht="21" customHeight="1">
      <c r="A763" s="507" t="s">
        <v>30</v>
      </c>
      <c r="B763" s="508" t="s">
        <v>413</v>
      </c>
      <c r="C763" s="508" t="s">
        <v>411</v>
      </c>
      <c r="D763" s="509"/>
      <c r="E763" s="509">
        <f>SUM($E$761*42)</f>
        <v>8524821.9000000004</v>
      </c>
      <c r="F763" s="509"/>
      <c r="G763" s="509"/>
      <c r="H763" s="509"/>
      <c r="I763" s="509"/>
      <c r="J763" s="508" t="s">
        <v>412</v>
      </c>
    </row>
    <row r="764" spans="1:10" ht="21" customHeight="1">
      <c r="A764" s="507" t="s">
        <v>30</v>
      </c>
      <c r="B764" s="508" t="s">
        <v>414</v>
      </c>
      <c r="C764" s="508" t="s">
        <v>411</v>
      </c>
      <c r="D764" s="509"/>
      <c r="E764" s="509">
        <f>$E$762+$E$763</f>
        <v>8524821.9000000004</v>
      </c>
      <c r="F764" s="509"/>
      <c r="G764" s="509"/>
      <c r="H764" s="509"/>
      <c r="I764" s="509"/>
      <c r="J764" s="508" t="s">
        <v>412</v>
      </c>
    </row>
    <row r="765" spans="1:10" ht="21" customHeight="1">
      <c r="A765" s="507" t="s">
        <v>30</v>
      </c>
      <c r="B765" s="508" t="s">
        <v>416</v>
      </c>
      <c r="C765" s="508" t="s">
        <v>397</v>
      </c>
      <c r="D765" s="509"/>
      <c r="E765" s="509">
        <v>0.46</v>
      </c>
      <c r="F765" s="509"/>
      <c r="G765" s="509"/>
      <c r="H765" s="509"/>
      <c r="I765" s="509"/>
      <c r="J765" s="508" t="s">
        <v>412</v>
      </c>
    </row>
    <row r="766" spans="1:10" ht="21" customHeight="1">
      <c r="A766" s="507" t="s">
        <v>30</v>
      </c>
      <c r="B766" s="508" t="s">
        <v>417</v>
      </c>
      <c r="C766" s="508" t="s">
        <v>397</v>
      </c>
      <c r="D766" s="509"/>
      <c r="E766" s="509">
        <v>0.46</v>
      </c>
      <c r="F766" s="509"/>
      <c r="G766" s="509"/>
      <c r="H766" s="509"/>
      <c r="I766" s="509"/>
      <c r="J766" s="508" t="s">
        <v>412</v>
      </c>
    </row>
    <row r="767" spans="1:10" ht="21" customHeight="1">
      <c r="A767" s="507" t="s">
        <v>30</v>
      </c>
      <c r="B767" s="508" t="s">
        <v>420</v>
      </c>
      <c r="C767" s="508" t="s">
        <v>397</v>
      </c>
      <c r="D767" s="509"/>
      <c r="E767" s="509"/>
      <c r="F767" s="509">
        <v>0</v>
      </c>
      <c r="G767" s="509"/>
      <c r="H767" s="509"/>
      <c r="I767" s="509"/>
      <c r="J767" s="508" t="s">
        <v>679</v>
      </c>
    </row>
    <row r="768" spans="1:10" ht="21" customHeight="1">
      <c r="A768" s="507" t="s">
        <v>30</v>
      </c>
      <c r="B768" s="508" t="s">
        <v>422</v>
      </c>
      <c r="C768" s="508" t="s">
        <v>397</v>
      </c>
      <c r="D768" s="509"/>
      <c r="E768" s="509"/>
      <c r="F768" s="509">
        <v>232256.07</v>
      </c>
      <c r="G768" s="509"/>
      <c r="H768" s="509"/>
      <c r="I768" s="509"/>
      <c r="J768" s="508" t="s">
        <v>679</v>
      </c>
    </row>
    <row r="769" spans="1:10" ht="21" customHeight="1">
      <c r="A769" s="507" t="s">
        <v>30</v>
      </c>
      <c r="B769" s="508" t="s">
        <v>423</v>
      </c>
      <c r="C769" s="508" t="s">
        <v>411</v>
      </c>
      <c r="D769" s="509"/>
      <c r="E769" s="509"/>
      <c r="F769" s="509">
        <f>SUM($F$767*42)</f>
        <v>0</v>
      </c>
      <c r="G769" s="509"/>
      <c r="H769" s="509"/>
      <c r="I769" s="509"/>
      <c r="J769" s="508" t="s">
        <v>679</v>
      </c>
    </row>
    <row r="770" spans="1:10" ht="21" customHeight="1">
      <c r="A770" s="507" t="s">
        <v>30</v>
      </c>
      <c r="B770" s="508" t="s">
        <v>424</v>
      </c>
      <c r="C770" s="508" t="s">
        <v>411</v>
      </c>
      <c r="D770" s="509"/>
      <c r="E770" s="509"/>
      <c r="F770" s="509">
        <f>SUM($F$768*42)</f>
        <v>9754754.9399999995</v>
      </c>
      <c r="G770" s="509"/>
      <c r="H770" s="509"/>
      <c r="I770" s="509"/>
      <c r="J770" s="508" t="s">
        <v>679</v>
      </c>
    </row>
    <row r="771" spans="1:10" ht="21" customHeight="1">
      <c r="A771" s="507" t="s">
        <v>30</v>
      </c>
      <c r="B771" s="508" t="s">
        <v>425</v>
      </c>
      <c r="C771" s="508" t="s">
        <v>411</v>
      </c>
      <c r="D771" s="509"/>
      <c r="E771" s="509"/>
      <c r="F771" s="509">
        <f>$F$769+$F$770</f>
        <v>9754754.9399999995</v>
      </c>
      <c r="G771" s="509"/>
      <c r="H771" s="509"/>
      <c r="I771" s="509"/>
      <c r="J771" s="508" t="s">
        <v>679</v>
      </c>
    </row>
    <row r="772" spans="1:10" ht="21" customHeight="1">
      <c r="A772" s="507" t="s">
        <v>30</v>
      </c>
      <c r="B772" s="508" t="s">
        <v>427</v>
      </c>
      <c r="C772" s="508" t="s">
        <v>397</v>
      </c>
      <c r="D772" s="509"/>
      <c r="E772" s="509"/>
      <c r="F772" s="509">
        <v>0.45</v>
      </c>
      <c r="G772" s="509"/>
      <c r="H772" s="509"/>
      <c r="I772" s="509"/>
      <c r="J772" s="508" t="s">
        <v>679</v>
      </c>
    </row>
    <row r="773" spans="1:10" ht="21" customHeight="1">
      <c r="A773" s="507" t="s">
        <v>30</v>
      </c>
      <c r="B773" s="508" t="s">
        <v>428</v>
      </c>
      <c r="C773" s="508" t="s">
        <v>397</v>
      </c>
      <c r="D773" s="509"/>
      <c r="E773" s="509"/>
      <c r="F773" s="509">
        <v>0.45</v>
      </c>
      <c r="G773" s="509"/>
      <c r="H773" s="509"/>
      <c r="I773" s="509"/>
      <c r="J773" s="508" t="s">
        <v>679</v>
      </c>
    </row>
    <row r="774" spans="1:10" ht="21" customHeight="1">
      <c r="A774" s="507" t="s">
        <v>30</v>
      </c>
      <c r="B774" s="508" t="s">
        <v>434</v>
      </c>
      <c r="C774" s="508" t="s">
        <v>397</v>
      </c>
      <c r="D774" s="509"/>
      <c r="E774" s="509"/>
      <c r="F774" s="509"/>
      <c r="G774" s="509">
        <v>0</v>
      </c>
      <c r="H774" s="509"/>
      <c r="I774" s="509"/>
      <c r="J774" s="508" t="s">
        <v>432</v>
      </c>
    </row>
    <row r="775" spans="1:10" ht="21" customHeight="1">
      <c r="A775" s="507" t="s">
        <v>30</v>
      </c>
      <c r="B775" s="508" t="s">
        <v>435</v>
      </c>
      <c r="C775" s="508" t="s">
        <v>397</v>
      </c>
      <c r="D775" s="509"/>
      <c r="E775" s="509"/>
      <c r="F775" s="509"/>
      <c r="G775" s="509">
        <v>8788477</v>
      </c>
      <c r="H775" s="509"/>
      <c r="I775" s="509"/>
      <c r="J775" s="508" t="s">
        <v>432</v>
      </c>
    </row>
    <row r="776" spans="1:10" ht="21" customHeight="1">
      <c r="A776" s="507" t="s">
        <v>30</v>
      </c>
      <c r="B776" s="508" t="s">
        <v>436</v>
      </c>
      <c r="C776" s="508" t="s">
        <v>411</v>
      </c>
      <c r="D776" s="509"/>
      <c r="E776" s="509"/>
      <c r="F776" s="509"/>
      <c r="G776" s="509">
        <f>SUM($G$774+$G$775)</f>
        <v>8788477</v>
      </c>
      <c r="H776" s="509"/>
      <c r="I776" s="509"/>
      <c r="J776" s="508" t="s">
        <v>432</v>
      </c>
    </row>
    <row r="777" spans="1:10" ht="21" customHeight="1">
      <c r="A777" s="507" t="s">
        <v>30</v>
      </c>
      <c r="B777" s="508" t="s">
        <v>438</v>
      </c>
      <c r="C777" s="508" t="s">
        <v>397</v>
      </c>
      <c r="D777" s="509"/>
      <c r="E777" s="509"/>
      <c r="F777" s="509"/>
      <c r="G777" s="509">
        <v>0.46</v>
      </c>
      <c r="H777" s="509"/>
      <c r="I777" s="509"/>
      <c r="J777" s="508" t="s">
        <v>432</v>
      </c>
    </row>
    <row r="778" spans="1:10" ht="21" customHeight="1">
      <c r="A778" s="507" t="s">
        <v>30</v>
      </c>
      <c r="B778" s="508" t="s">
        <v>439</v>
      </c>
      <c r="C778" s="508" t="s">
        <v>397</v>
      </c>
      <c r="D778" s="509"/>
      <c r="E778" s="509"/>
      <c r="F778" s="509"/>
      <c r="G778" s="509">
        <v>0.46</v>
      </c>
      <c r="H778" s="509"/>
      <c r="I778" s="509"/>
      <c r="J778" s="508" t="s">
        <v>432</v>
      </c>
    </row>
    <row r="779" spans="1:10" ht="21" customHeight="1">
      <c r="A779" s="507" t="s">
        <v>30</v>
      </c>
      <c r="B779" s="508" t="s">
        <v>440</v>
      </c>
      <c r="C779" s="508" t="s">
        <v>397</v>
      </c>
      <c r="D779" s="509"/>
      <c r="E779" s="509"/>
      <c r="F779" s="509"/>
      <c r="G779" s="509"/>
      <c r="H779" s="509">
        <v>0</v>
      </c>
      <c r="I779" s="509"/>
      <c r="J779" s="508" t="s">
        <v>444</v>
      </c>
    </row>
    <row r="780" spans="1:10" ht="21" customHeight="1">
      <c r="A780" s="507" t="s">
        <v>30</v>
      </c>
      <c r="B780" s="508" t="s">
        <v>442</v>
      </c>
      <c r="C780" s="508" t="s">
        <v>397</v>
      </c>
      <c r="D780" s="509"/>
      <c r="E780" s="509"/>
      <c r="F780" s="509"/>
      <c r="G780" s="509"/>
      <c r="H780" s="509">
        <v>267135.92</v>
      </c>
      <c r="I780" s="509"/>
      <c r="J780" s="508" t="s">
        <v>444</v>
      </c>
    </row>
    <row r="781" spans="1:10" ht="21" customHeight="1">
      <c r="A781" s="507" t="s">
        <v>30</v>
      </c>
      <c r="B781" s="508" t="s">
        <v>443</v>
      </c>
      <c r="C781" s="508" t="s">
        <v>411</v>
      </c>
      <c r="D781" s="509"/>
      <c r="E781" s="509"/>
      <c r="F781" s="509"/>
      <c r="G781" s="509"/>
      <c r="H781" s="509">
        <f>SUM($H$779*42)</f>
        <v>0</v>
      </c>
      <c r="I781" s="509"/>
      <c r="J781" s="508" t="s">
        <v>444</v>
      </c>
    </row>
    <row r="782" spans="1:10" ht="21" customHeight="1">
      <c r="A782" s="507" t="s">
        <v>30</v>
      </c>
      <c r="B782" s="508" t="s">
        <v>445</v>
      </c>
      <c r="C782" s="508" t="s">
        <v>411</v>
      </c>
      <c r="D782" s="509"/>
      <c r="E782" s="509"/>
      <c r="F782" s="509"/>
      <c r="G782" s="509"/>
      <c r="H782" s="509">
        <f>SUM($H$780*42)</f>
        <v>11219708.639999999</v>
      </c>
      <c r="I782" s="509"/>
      <c r="J782" s="508" t="s">
        <v>444</v>
      </c>
    </row>
    <row r="783" spans="1:10" ht="21" customHeight="1">
      <c r="A783" s="507" t="s">
        <v>30</v>
      </c>
      <c r="B783" s="508" t="s">
        <v>446</v>
      </c>
      <c r="C783" s="508" t="s">
        <v>411</v>
      </c>
      <c r="D783" s="509"/>
      <c r="E783" s="509"/>
      <c r="F783" s="509"/>
      <c r="G783" s="509"/>
      <c r="H783" s="509">
        <f>$H$781+$H$782</f>
        <v>11219708.639999999</v>
      </c>
      <c r="I783" s="509"/>
      <c r="J783" s="508" t="s">
        <v>444</v>
      </c>
    </row>
    <row r="784" spans="1:10" ht="21" customHeight="1">
      <c r="A784" s="507" t="s">
        <v>30</v>
      </c>
      <c r="B784" s="508" t="s">
        <v>448</v>
      </c>
      <c r="C784" s="508" t="s">
        <v>397</v>
      </c>
      <c r="D784" s="509"/>
      <c r="E784" s="509"/>
      <c r="F784" s="509"/>
      <c r="G784" s="509"/>
      <c r="H784" s="509">
        <v>0.46</v>
      </c>
      <c r="I784" s="509"/>
      <c r="J784" s="508" t="s">
        <v>444</v>
      </c>
    </row>
    <row r="785" spans="1:10" ht="21" customHeight="1">
      <c r="A785" s="507" t="s">
        <v>30</v>
      </c>
      <c r="B785" s="508" t="s">
        <v>449</v>
      </c>
      <c r="C785" s="508" t="s">
        <v>397</v>
      </c>
      <c r="D785" s="509"/>
      <c r="E785" s="509"/>
      <c r="F785" s="509"/>
      <c r="G785" s="509"/>
      <c r="H785" s="509">
        <v>0.46</v>
      </c>
      <c r="I785" s="509"/>
      <c r="J785" s="508" t="s">
        <v>444</v>
      </c>
    </row>
    <row r="786" spans="1:10" ht="21" customHeight="1">
      <c r="A786" s="507" t="s">
        <v>30</v>
      </c>
      <c r="B786" s="508" t="s">
        <v>450</v>
      </c>
      <c r="C786" s="508" t="s">
        <v>397</v>
      </c>
      <c r="D786" s="509"/>
      <c r="E786" s="509"/>
      <c r="F786" s="509"/>
      <c r="G786" s="509"/>
      <c r="H786" s="509"/>
      <c r="I786" s="509">
        <f>Aguirre!B10</f>
        <v>0</v>
      </c>
      <c r="J786" s="508" t="s">
        <v>451</v>
      </c>
    </row>
    <row r="787" spans="1:10" ht="21" customHeight="1">
      <c r="A787" s="507" t="s">
        <v>30</v>
      </c>
      <c r="B787" s="508" t="s">
        <v>452</v>
      </c>
      <c r="C787" s="508" t="s">
        <v>397</v>
      </c>
      <c r="D787" s="509"/>
      <c r="E787" s="509"/>
      <c r="F787" s="509"/>
      <c r="G787" s="509"/>
      <c r="H787" s="509"/>
      <c r="I787" s="509">
        <f>Aguirre!C10</f>
        <v>264973.12</v>
      </c>
      <c r="J787" s="508" t="s">
        <v>451</v>
      </c>
    </row>
    <row r="788" spans="1:10" ht="21" customHeight="1">
      <c r="A788" s="507" t="s">
        <v>30</v>
      </c>
      <c r="B788" s="508" t="s">
        <v>453</v>
      </c>
      <c r="C788" s="508" t="s">
        <v>411</v>
      </c>
      <c r="D788" s="509"/>
      <c r="E788" s="509"/>
      <c r="F788" s="509"/>
      <c r="G788" s="509"/>
      <c r="H788" s="509"/>
      <c r="I788" s="509">
        <f>SUM($I$786*42)</f>
        <v>0</v>
      </c>
      <c r="J788" s="508" t="s">
        <v>451</v>
      </c>
    </row>
    <row r="789" spans="1:10" ht="21" customHeight="1">
      <c r="A789" s="507" t="s">
        <v>30</v>
      </c>
      <c r="B789" s="508" t="s">
        <v>454</v>
      </c>
      <c r="C789" s="508" t="s">
        <v>411</v>
      </c>
      <c r="D789" s="509"/>
      <c r="E789" s="509"/>
      <c r="F789" s="509"/>
      <c r="G789" s="509"/>
      <c r="H789" s="509"/>
      <c r="I789" s="509">
        <f>SUM($I$787*42)</f>
        <v>11128871.039999999</v>
      </c>
      <c r="J789" s="508" t="s">
        <v>451</v>
      </c>
    </row>
    <row r="790" spans="1:10" ht="21" customHeight="1">
      <c r="A790" s="507" t="s">
        <v>30</v>
      </c>
      <c r="B790" s="508" t="s">
        <v>455</v>
      </c>
      <c r="C790" s="508" t="s">
        <v>411</v>
      </c>
      <c r="D790" s="509"/>
      <c r="E790" s="509"/>
      <c r="F790" s="509"/>
      <c r="G790" s="509"/>
      <c r="H790" s="509"/>
      <c r="I790" s="509">
        <f>$I$788+$I$789</f>
        <v>11128871.039999999</v>
      </c>
      <c r="J790" s="508" t="s">
        <v>451</v>
      </c>
    </row>
    <row r="791" spans="1:10" ht="21" customHeight="1">
      <c r="A791" s="507" t="s">
        <v>30</v>
      </c>
      <c r="B791" s="508" t="s">
        <v>457</v>
      </c>
      <c r="C791" s="508" t="s">
        <v>397</v>
      </c>
      <c r="D791" s="509"/>
      <c r="E791" s="509"/>
      <c r="F791" s="509"/>
      <c r="G791" s="509"/>
      <c r="H791" s="509"/>
      <c r="I791" s="509">
        <f>Aguirre!H10</f>
        <v>0.47</v>
      </c>
      <c r="J791" s="508" t="s">
        <v>451</v>
      </c>
    </row>
    <row r="792" spans="1:10" ht="21" customHeight="1">
      <c r="A792" s="507" t="s">
        <v>30</v>
      </c>
      <c r="B792" s="508" t="s">
        <v>458</v>
      </c>
      <c r="C792" s="508" t="s">
        <v>397</v>
      </c>
      <c r="D792" s="509"/>
      <c r="E792" s="509"/>
      <c r="F792" s="509"/>
      <c r="G792" s="509"/>
      <c r="H792" s="509"/>
      <c r="I792" s="509">
        <f>Aguirre!I10</f>
        <v>0.47</v>
      </c>
      <c r="J792" s="508" t="s">
        <v>451</v>
      </c>
    </row>
    <row r="793" spans="1:10" ht="21" customHeight="1">
      <c r="A793" s="507" t="s">
        <v>30</v>
      </c>
      <c r="B793" s="508" t="s">
        <v>604</v>
      </c>
      <c r="C793" s="508" t="s">
        <v>397</v>
      </c>
      <c r="D793" s="509">
        <v>909273</v>
      </c>
      <c r="E793" s="509"/>
      <c r="F793" s="509"/>
      <c r="G793" s="509"/>
      <c r="H793" s="509"/>
      <c r="I793" s="509"/>
      <c r="J793" s="508"/>
    </row>
    <row r="794" spans="1:10" ht="21" customHeight="1">
      <c r="A794" s="507" t="s">
        <v>30</v>
      </c>
      <c r="B794" s="508" t="s">
        <v>535</v>
      </c>
      <c r="C794" s="508" t="s">
        <v>397</v>
      </c>
      <c r="D794" s="509">
        <v>601187</v>
      </c>
      <c r="E794" s="509"/>
      <c r="F794" s="509"/>
      <c r="G794" s="509"/>
      <c r="H794" s="509"/>
      <c r="I794" s="509"/>
      <c r="J794" s="508"/>
    </row>
    <row r="795" spans="1:10" ht="21" customHeight="1">
      <c r="A795" s="507" t="s">
        <v>30</v>
      </c>
      <c r="B795" s="508" t="s">
        <v>670</v>
      </c>
      <c r="C795" s="508" t="s">
        <v>397</v>
      </c>
      <c r="D795" s="509">
        <v>0</v>
      </c>
      <c r="E795" s="509"/>
      <c r="F795" s="509"/>
      <c r="G795" s="509"/>
      <c r="H795" s="509"/>
      <c r="I795" s="509"/>
      <c r="J795" s="508"/>
    </row>
    <row r="796" spans="1:10" ht="21" customHeight="1">
      <c r="A796" s="507" t="s">
        <v>30</v>
      </c>
      <c r="B796" s="508" t="s">
        <v>694</v>
      </c>
      <c r="C796" s="508" t="s">
        <v>397</v>
      </c>
      <c r="D796" s="509">
        <v>0</v>
      </c>
      <c r="E796" s="509"/>
      <c r="F796" s="509"/>
      <c r="G796" s="509"/>
      <c r="H796" s="509"/>
      <c r="I796" s="509"/>
      <c r="J796" s="508"/>
    </row>
    <row r="797" spans="1:10" ht="21" customHeight="1">
      <c r="A797" s="507" t="s">
        <v>30</v>
      </c>
      <c r="B797" s="508" t="s">
        <v>762</v>
      </c>
      <c r="C797" s="508" t="s">
        <v>397</v>
      </c>
      <c r="D797" s="509">
        <v>928970</v>
      </c>
      <c r="E797" s="509"/>
      <c r="F797" s="509"/>
      <c r="G797" s="509"/>
      <c r="H797" s="509"/>
      <c r="I797" s="509"/>
      <c r="J797" s="508"/>
    </row>
    <row r="798" spans="1:10" ht="21" customHeight="1">
      <c r="A798" s="507" t="s">
        <v>30</v>
      </c>
      <c r="B798" s="508" t="s">
        <v>717</v>
      </c>
      <c r="C798" s="508" t="s">
        <v>397</v>
      </c>
      <c r="D798" s="509">
        <v>925818</v>
      </c>
      <c r="E798" s="509"/>
      <c r="F798" s="509"/>
      <c r="G798" s="509"/>
      <c r="H798" s="509"/>
      <c r="I798" s="509"/>
      <c r="J798" s="508"/>
    </row>
    <row r="799" spans="1:10" ht="21" customHeight="1">
      <c r="A799" s="507" t="s">
        <v>30</v>
      </c>
      <c r="B799" s="508" t="s">
        <v>763</v>
      </c>
      <c r="C799" s="508" t="s">
        <v>397</v>
      </c>
      <c r="D799" s="509">
        <v>0</v>
      </c>
      <c r="E799" s="509"/>
      <c r="F799" s="509"/>
      <c r="G799" s="509"/>
      <c r="H799" s="509"/>
      <c r="I799" s="509"/>
      <c r="J799" s="508"/>
    </row>
    <row r="800" spans="1:10" ht="21" customHeight="1">
      <c r="A800" s="507" t="s">
        <v>30</v>
      </c>
      <c r="B800" s="508" t="s">
        <v>764</v>
      </c>
      <c r="C800" s="508" t="s">
        <v>397</v>
      </c>
      <c r="D800" s="509">
        <v>761537</v>
      </c>
      <c r="E800" s="509"/>
      <c r="F800" s="509"/>
      <c r="G800" s="509"/>
      <c r="H800" s="509"/>
      <c r="I800" s="509"/>
      <c r="J800" s="508"/>
    </row>
    <row r="801" spans="1:10" ht="21" customHeight="1">
      <c r="A801" s="507" t="s">
        <v>30</v>
      </c>
      <c r="B801" s="508" t="s">
        <v>765</v>
      </c>
      <c r="C801" s="508" t="s">
        <v>397</v>
      </c>
      <c r="D801" s="509">
        <v>0.01</v>
      </c>
      <c r="E801" s="509"/>
      <c r="F801" s="509"/>
      <c r="G801" s="509"/>
      <c r="H801" s="509"/>
      <c r="I801" s="509"/>
      <c r="J801" s="508"/>
    </row>
    <row r="802" spans="1:10" ht="21" customHeight="1">
      <c r="A802" s="507" t="s">
        <v>30</v>
      </c>
      <c r="B802" s="508" t="s">
        <v>766</v>
      </c>
      <c r="C802" s="508" t="s">
        <v>397</v>
      </c>
      <c r="D802" s="509">
        <v>0.01</v>
      </c>
      <c r="E802" s="509"/>
      <c r="F802" s="509"/>
      <c r="G802" s="509"/>
      <c r="H802" s="509"/>
      <c r="I802" s="509"/>
      <c r="J802" s="508"/>
    </row>
    <row r="803" spans="1:10" ht="21" customHeight="1">
      <c r="A803" s="507" t="s">
        <v>30</v>
      </c>
      <c r="B803" s="508" t="s">
        <v>767</v>
      </c>
      <c r="C803" s="508" t="s">
        <v>397</v>
      </c>
      <c r="D803" s="509">
        <v>0.01</v>
      </c>
      <c r="E803" s="509"/>
      <c r="F803" s="509"/>
      <c r="G803" s="509"/>
      <c r="H803" s="509"/>
      <c r="I803" s="509"/>
      <c r="J803" s="508"/>
    </row>
    <row r="804" spans="1:10" ht="21" customHeight="1">
      <c r="A804" s="507" t="s">
        <v>30</v>
      </c>
      <c r="B804" s="508" t="s">
        <v>695</v>
      </c>
      <c r="C804" s="508" t="s">
        <v>397</v>
      </c>
      <c r="D804" s="509">
        <v>0.01</v>
      </c>
      <c r="E804" s="509"/>
      <c r="F804" s="509"/>
      <c r="G804" s="509"/>
      <c r="H804" s="509"/>
      <c r="I804" s="509"/>
      <c r="J804" s="508"/>
    </row>
    <row r="805" spans="1:10" ht="21" customHeight="1">
      <c r="A805" s="507" t="s">
        <v>30</v>
      </c>
      <c r="B805" s="508" t="s">
        <v>696</v>
      </c>
      <c r="C805" s="508" t="s">
        <v>397</v>
      </c>
      <c r="D805" s="509">
        <v>0.01</v>
      </c>
      <c r="E805" s="509"/>
      <c r="F805" s="509"/>
      <c r="G805" s="509"/>
      <c r="H805" s="509"/>
      <c r="I805" s="509"/>
      <c r="J805" s="508"/>
    </row>
    <row r="806" spans="1:10" ht="21" customHeight="1">
      <c r="A806" s="507" t="s">
        <v>30</v>
      </c>
      <c r="B806" s="508" t="s">
        <v>768</v>
      </c>
      <c r="C806" s="508" t="s">
        <v>397</v>
      </c>
      <c r="D806" s="509">
        <v>0.01</v>
      </c>
      <c r="E806" s="509"/>
      <c r="F806" s="509"/>
      <c r="G806" s="509"/>
      <c r="H806" s="509"/>
      <c r="I806" s="509"/>
      <c r="J806" s="508"/>
    </row>
    <row r="807" spans="1:10" ht="21" customHeight="1">
      <c r="A807" s="507" t="s">
        <v>30</v>
      </c>
      <c r="B807" s="508" t="s">
        <v>769</v>
      </c>
      <c r="C807" s="508" t="s">
        <v>397</v>
      </c>
      <c r="D807" s="509">
        <v>0.01</v>
      </c>
      <c r="E807" s="509"/>
      <c r="F807" s="509"/>
      <c r="G807" s="509"/>
      <c r="H807" s="509"/>
      <c r="I807" s="509"/>
      <c r="J807" s="508"/>
    </row>
    <row r="808" spans="1:10" ht="21" customHeight="1">
      <c r="A808" s="507" t="s">
        <v>30</v>
      </c>
      <c r="B808" s="508" t="s">
        <v>770</v>
      </c>
      <c r="C808" s="508" t="s">
        <v>397</v>
      </c>
      <c r="D808" s="509">
        <v>0.01</v>
      </c>
      <c r="E808" s="509"/>
      <c r="F808" s="509"/>
      <c r="G808" s="509"/>
      <c r="H808" s="509"/>
      <c r="I808" s="509"/>
      <c r="J808" s="508"/>
    </row>
    <row r="809" spans="1:10" ht="21" customHeight="1">
      <c r="A809" s="507" t="s">
        <v>30</v>
      </c>
      <c r="B809" s="508" t="s">
        <v>493</v>
      </c>
      <c r="C809" s="508" t="s">
        <v>397</v>
      </c>
      <c r="D809" s="509"/>
      <c r="E809" s="509">
        <v>721366</v>
      </c>
      <c r="F809" s="509"/>
      <c r="G809" s="509"/>
      <c r="H809" s="509"/>
      <c r="I809" s="509"/>
      <c r="J809" s="508" t="s">
        <v>412</v>
      </c>
    </row>
    <row r="810" spans="1:10" ht="21" customHeight="1">
      <c r="A810" s="507" t="s">
        <v>30</v>
      </c>
      <c r="B810" s="508" t="s">
        <v>494</v>
      </c>
      <c r="C810" s="508" t="s">
        <v>397</v>
      </c>
      <c r="D810" s="509"/>
      <c r="E810" s="509">
        <v>433478</v>
      </c>
      <c r="F810" s="509"/>
      <c r="G810" s="509"/>
      <c r="H810" s="509"/>
      <c r="I810" s="509"/>
      <c r="J810" s="508" t="s">
        <v>412</v>
      </c>
    </row>
    <row r="811" spans="1:10" ht="21" customHeight="1">
      <c r="A811" s="507" t="s">
        <v>30</v>
      </c>
      <c r="B811" s="508" t="s">
        <v>495</v>
      </c>
      <c r="C811" s="508" t="s">
        <v>397</v>
      </c>
      <c r="D811" s="509"/>
      <c r="E811" s="509">
        <v>0</v>
      </c>
      <c r="F811" s="509"/>
      <c r="G811" s="509"/>
      <c r="H811" s="509"/>
      <c r="I811" s="509"/>
      <c r="J811" s="508" t="s">
        <v>412</v>
      </c>
    </row>
    <row r="812" spans="1:10" ht="21" customHeight="1">
      <c r="A812" s="507" t="s">
        <v>30</v>
      </c>
      <c r="B812" s="508" t="s">
        <v>496</v>
      </c>
      <c r="C812" s="508" t="s">
        <v>397</v>
      </c>
      <c r="D812" s="509"/>
      <c r="E812" s="509">
        <v>0</v>
      </c>
      <c r="F812" s="509"/>
      <c r="G812" s="509"/>
      <c r="H812" s="509"/>
      <c r="I812" s="509"/>
      <c r="J812" s="508" t="s">
        <v>412</v>
      </c>
    </row>
    <row r="813" spans="1:10" ht="21" customHeight="1">
      <c r="A813" s="507" t="s">
        <v>30</v>
      </c>
      <c r="B813" s="508" t="s">
        <v>697</v>
      </c>
      <c r="C813" s="508" t="s">
        <v>397</v>
      </c>
      <c r="D813" s="509"/>
      <c r="E813" s="509">
        <v>836910</v>
      </c>
      <c r="F813" s="509"/>
      <c r="G813" s="509"/>
      <c r="H813" s="509"/>
      <c r="I813" s="509"/>
      <c r="J813" s="508" t="s">
        <v>412</v>
      </c>
    </row>
    <row r="814" spans="1:10" ht="21" customHeight="1">
      <c r="A814" s="507" t="s">
        <v>30</v>
      </c>
      <c r="B814" s="508" t="s">
        <v>771</v>
      </c>
      <c r="C814" s="508" t="s">
        <v>397</v>
      </c>
      <c r="D814" s="509"/>
      <c r="E814" s="509">
        <v>923331</v>
      </c>
      <c r="F814" s="509"/>
      <c r="G814" s="509"/>
      <c r="H814" s="509"/>
      <c r="I814" s="509"/>
      <c r="J814" s="508" t="s">
        <v>412</v>
      </c>
    </row>
    <row r="815" spans="1:10" ht="21" customHeight="1">
      <c r="A815" s="507" t="s">
        <v>30</v>
      </c>
      <c r="B815" s="508" t="s">
        <v>772</v>
      </c>
      <c r="C815" s="508" t="s">
        <v>397</v>
      </c>
      <c r="D815" s="509"/>
      <c r="E815" s="509">
        <v>0</v>
      </c>
      <c r="F815" s="509"/>
      <c r="G815" s="509"/>
      <c r="H815" s="509"/>
      <c r="I815" s="509"/>
      <c r="J815" s="508" t="s">
        <v>412</v>
      </c>
    </row>
    <row r="816" spans="1:10" ht="21" customHeight="1">
      <c r="A816" s="507" t="s">
        <v>30</v>
      </c>
      <c r="B816" s="508" t="s">
        <v>773</v>
      </c>
      <c r="C816" s="508" t="s">
        <v>397</v>
      </c>
      <c r="D816" s="509"/>
      <c r="E816" s="509">
        <v>561320</v>
      </c>
      <c r="F816" s="509"/>
      <c r="G816" s="509"/>
      <c r="H816" s="509"/>
      <c r="I816" s="509"/>
      <c r="J816" s="508" t="s">
        <v>412</v>
      </c>
    </row>
    <row r="817" spans="1:10" ht="21" customHeight="1">
      <c r="A817" s="507" t="s">
        <v>30</v>
      </c>
      <c r="B817" s="508" t="s">
        <v>774</v>
      </c>
      <c r="C817" s="508" t="s">
        <v>397</v>
      </c>
      <c r="D817" s="509"/>
      <c r="E817" s="509">
        <v>1E-3</v>
      </c>
      <c r="F817" s="509"/>
      <c r="G817" s="509"/>
      <c r="H817" s="509"/>
      <c r="I817" s="509"/>
      <c r="J817" s="508" t="s">
        <v>412</v>
      </c>
    </row>
    <row r="818" spans="1:10" ht="21" customHeight="1">
      <c r="A818" s="507" t="s">
        <v>30</v>
      </c>
      <c r="B818" s="508" t="s">
        <v>775</v>
      </c>
      <c r="C818" s="508" t="s">
        <v>397</v>
      </c>
      <c r="D818" s="509"/>
      <c r="E818" s="509">
        <v>1E-3</v>
      </c>
      <c r="F818" s="509"/>
      <c r="G818" s="509"/>
      <c r="H818" s="509"/>
      <c r="I818" s="509"/>
      <c r="J818" s="508" t="s">
        <v>412</v>
      </c>
    </row>
    <row r="819" spans="1:10" ht="21" customHeight="1">
      <c r="A819" s="507" t="s">
        <v>30</v>
      </c>
      <c r="B819" s="508" t="s">
        <v>776</v>
      </c>
      <c r="C819" s="508" t="s">
        <v>397</v>
      </c>
      <c r="D819" s="509"/>
      <c r="E819" s="509">
        <v>1E-3</v>
      </c>
      <c r="F819" s="509"/>
      <c r="G819" s="509"/>
      <c r="H819" s="509"/>
      <c r="I819" s="509"/>
      <c r="J819" s="508" t="s">
        <v>412</v>
      </c>
    </row>
    <row r="820" spans="1:10" ht="21" customHeight="1">
      <c r="A820" s="507" t="s">
        <v>30</v>
      </c>
      <c r="B820" s="508" t="s">
        <v>699</v>
      </c>
      <c r="C820" s="508" t="s">
        <v>397</v>
      </c>
      <c r="D820" s="509"/>
      <c r="E820" s="509">
        <v>1E-3</v>
      </c>
      <c r="F820" s="509"/>
      <c r="G820" s="509"/>
      <c r="H820" s="509"/>
      <c r="I820" s="509"/>
      <c r="J820" s="508" t="s">
        <v>412</v>
      </c>
    </row>
    <row r="821" spans="1:10" ht="21" customHeight="1">
      <c r="A821" s="507" t="s">
        <v>30</v>
      </c>
      <c r="B821" s="508" t="s">
        <v>700</v>
      </c>
      <c r="C821" s="508" t="s">
        <v>397</v>
      </c>
      <c r="D821" s="509"/>
      <c r="E821" s="509">
        <v>1E-3</v>
      </c>
      <c r="F821" s="509"/>
      <c r="G821" s="509"/>
      <c r="H821" s="509"/>
      <c r="I821" s="509"/>
      <c r="J821" s="508" t="s">
        <v>412</v>
      </c>
    </row>
    <row r="822" spans="1:10" ht="21" customHeight="1">
      <c r="A822" s="507" t="s">
        <v>30</v>
      </c>
      <c r="B822" s="508" t="s">
        <v>777</v>
      </c>
      <c r="C822" s="508" t="s">
        <v>397</v>
      </c>
      <c r="D822" s="509"/>
      <c r="E822" s="509">
        <v>1E-3</v>
      </c>
      <c r="F822" s="509"/>
      <c r="G822" s="509"/>
      <c r="H822" s="509"/>
      <c r="I822" s="509"/>
      <c r="J822" s="508" t="s">
        <v>412</v>
      </c>
    </row>
    <row r="823" spans="1:10" ht="21" customHeight="1">
      <c r="A823" s="507" t="s">
        <v>30</v>
      </c>
      <c r="B823" s="508" t="s">
        <v>778</v>
      </c>
      <c r="C823" s="508" t="s">
        <v>397</v>
      </c>
      <c r="D823" s="509"/>
      <c r="E823" s="509">
        <v>1E-3</v>
      </c>
      <c r="F823" s="509"/>
      <c r="G823" s="509"/>
      <c r="H823" s="509"/>
      <c r="I823" s="509"/>
      <c r="J823" s="508" t="s">
        <v>412</v>
      </c>
    </row>
    <row r="824" spans="1:10" ht="21" customHeight="1">
      <c r="A824" s="507" t="s">
        <v>30</v>
      </c>
      <c r="B824" s="508" t="s">
        <v>779</v>
      </c>
      <c r="C824" s="508" t="s">
        <v>397</v>
      </c>
      <c r="D824" s="509"/>
      <c r="E824" s="509">
        <v>1E-3</v>
      </c>
      <c r="F824" s="509"/>
      <c r="G824" s="509"/>
      <c r="H824" s="509"/>
      <c r="I824" s="509"/>
      <c r="J824" s="508" t="s">
        <v>412</v>
      </c>
    </row>
    <row r="825" spans="1:10" ht="21" customHeight="1">
      <c r="A825" s="507" t="s">
        <v>30</v>
      </c>
      <c r="B825" s="508" t="s">
        <v>497</v>
      </c>
      <c r="C825" s="508" t="s">
        <v>397</v>
      </c>
      <c r="D825" s="509"/>
      <c r="E825" s="509"/>
      <c r="F825" s="509">
        <v>669519</v>
      </c>
      <c r="G825" s="509"/>
      <c r="H825" s="509"/>
      <c r="I825" s="509"/>
      <c r="J825" s="508"/>
    </row>
    <row r="826" spans="1:10" ht="21" customHeight="1">
      <c r="A826" s="507" t="s">
        <v>30</v>
      </c>
      <c r="B826" s="508" t="s">
        <v>498</v>
      </c>
      <c r="C826" s="508" t="s">
        <v>397</v>
      </c>
      <c r="D826" s="509"/>
      <c r="E826" s="509"/>
      <c r="F826" s="509">
        <v>473144</v>
      </c>
      <c r="G826" s="509"/>
      <c r="H826" s="509"/>
      <c r="I826" s="509"/>
      <c r="J826" s="508"/>
    </row>
    <row r="827" spans="1:10" ht="21" customHeight="1">
      <c r="A827" s="507" t="s">
        <v>30</v>
      </c>
      <c r="B827" s="508" t="s">
        <v>499</v>
      </c>
      <c r="C827" s="508" t="s">
        <v>397</v>
      </c>
      <c r="D827" s="509"/>
      <c r="E827" s="509"/>
      <c r="F827" s="509">
        <v>0</v>
      </c>
      <c r="G827" s="509"/>
      <c r="H827" s="509"/>
      <c r="I827" s="509"/>
      <c r="J827" s="508"/>
    </row>
    <row r="828" spans="1:10" ht="21" customHeight="1">
      <c r="A828" s="507" t="s">
        <v>30</v>
      </c>
      <c r="B828" s="508" t="s">
        <v>500</v>
      </c>
      <c r="C828" s="508" t="s">
        <v>397</v>
      </c>
      <c r="D828" s="509"/>
      <c r="E828" s="509"/>
      <c r="F828" s="509">
        <v>0</v>
      </c>
      <c r="G828" s="509"/>
      <c r="H828" s="509"/>
      <c r="I828" s="509"/>
      <c r="J828" s="508"/>
    </row>
    <row r="829" spans="1:10" ht="21" customHeight="1">
      <c r="A829" s="507" t="s">
        <v>30</v>
      </c>
      <c r="B829" s="508" t="s">
        <v>701</v>
      </c>
      <c r="C829" s="508" t="s">
        <v>397</v>
      </c>
      <c r="D829" s="509"/>
      <c r="E829" s="509"/>
      <c r="F829" s="509">
        <v>732473</v>
      </c>
      <c r="G829" s="509"/>
      <c r="H829" s="509"/>
      <c r="I829" s="509"/>
      <c r="J829" s="508"/>
    </row>
    <row r="830" spans="1:10" ht="21" customHeight="1">
      <c r="A830" s="507" t="s">
        <v>30</v>
      </c>
      <c r="B830" s="508" t="s">
        <v>780</v>
      </c>
      <c r="C830" s="508" t="s">
        <v>397</v>
      </c>
      <c r="D830" s="509"/>
      <c r="E830" s="509"/>
      <c r="F830" s="509">
        <v>768473</v>
      </c>
      <c r="G830" s="509"/>
      <c r="H830" s="509"/>
      <c r="I830" s="509"/>
      <c r="J830" s="508"/>
    </row>
    <row r="831" spans="1:10" ht="21" customHeight="1">
      <c r="A831" s="507" t="s">
        <v>30</v>
      </c>
      <c r="B831" s="508" t="s">
        <v>781</v>
      </c>
      <c r="C831" s="508" t="s">
        <v>397</v>
      </c>
      <c r="D831" s="509"/>
      <c r="E831" s="509"/>
      <c r="F831" s="509">
        <v>0</v>
      </c>
      <c r="G831" s="509"/>
      <c r="H831" s="509"/>
      <c r="I831" s="509"/>
      <c r="J831" s="508"/>
    </row>
    <row r="832" spans="1:10" ht="21" customHeight="1">
      <c r="A832" s="507" t="s">
        <v>30</v>
      </c>
      <c r="B832" s="508" t="s">
        <v>782</v>
      </c>
      <c r="C832" s="508" t="s">
        <v>397</v>
      </c>
      <c r="D832" s="509"/>
      <c r="E832" s="509"/>
      <c r="F832" s="509">
        <v>546000</v>
      </c>
      <c r="G832" s="509"/>
      <c r="H832" s="509"/>
      <c r="I832" s="509"/>
      <c r="J832" s="508"/>
    </row>
    <row r="833" spans="1:10" ht="21" customHeight="1">
      <c r="A833" s="507" t="s">
        <v>30</v>
      </c>
      <c r="B833" s="508" t="s">
        <v>783</v>
      </c>
      <c r="C833" s="508" t="s">
        <v>397</v>
      </c>
      <c r="D833" s="509"/>
      <c r="E833" s="509"/>
      <c r="F833" s="509">
        <v>1E-3</v>
      </c>
      <c r="G833" s="509"/>
      <c r="H833" s="509"/>
      <c r="I833" s="509"/>
      <c r="J833" s="508"/>
    </row>
    <row r="834" spans="1:10" ht="21" customHeight="1">
      <c r="A834" s="507" t="s">
        <v>30</v>
      </c>
      <c r="B834" s="508" t="s">
        <v>784</v>
      </c>
      <c r="C834" s="508" t="s">
        <v>397</v>
      </c>
      <c r="D834" s="509"/>
      <c r="E834" s="509"/>
      <c r="F834" s="509">
        <v>1E-3</v>
      </c>
      <c r="G834" s="509"/>
      <c r="H834" s="509"/>
      <c r="I834" s="509"/>
      <c r="J834" s="508"/>
    </row>
    <row r="835" spans="1:10" ht="21" customHeight="1">
      <c r="A835" s="507" t="s">
        <v>30</v>
      </c>
      <c r="B835" s="508" t="s">
        <v>785</v>
      </c>
      <c r="C835" s="508" t="s">
        <v>397</v>
      </c>
      <c r="D835" s="509"/>
      <c r="E835" s="509"/>
      <c r="F835" s="509">
        <v>1E-3</v>
      </c>
      <c r="G835" s="509"/>
      <c r="H835" s="509"/>
      <c r="I835" s="509"/>
      <c r="J835" s="508"/>
    </row>
    <row r="836" spans="1:10" ht="21" customHeight="1">
      <c r="A836" s="507" t="s">
        <v>30</v>
      </c>
      <c r="B836" s="508" t="s">
        <v>703</v>
      </c>
      <c r="C836" s="508" t="s">
        <v>397</v>
      </c>
      <c r="D836" s="509"/>
      <c r="E836" s="509"/>
      <c r="F836" s="509">
        <v>1E-3</v>
      </c>
      <c r="G836" s="509"/>
      <c r="H836" s="509"/>
      <c r="I836" s="509"/>
      <c r="J836" s="508"/>
    </row>
    <row r="837" spans="1:10" ht="21" customHeight="1">
      <c r="A837" s="507" t="s">
        <v>30</v>
      </c>
      <c r="B837" s="508" t="s">
        <v>704</v>
      </c>
      <c r="C837" s="508" t="s">
        <v>397</v>
      </c>
      <c r="D837" s="509"/>
      <c r="E837" s="509"/>
      <c r="F837" s="509">
        <v>1E-3</v>
      </c>
      <c r="G837" s="509"/>
      <c r="H837" s="509"/>
      <c r="I837" s="509"/>
      <c r="J837" s="508"/>
    </row>
    <row r="838" spans="1:10" ht="21" customHeight="1">
      <c r="A838" s="507" t="s">
        <v>30</v>
      </c>
      <c r="B838" s="508" t="s">
        <v>786</v>
      </c>
      <c r="C838" s="508" t="s">
        <v>397</v>
      </c>
      <c r="D838" s="509"/>
      <c r="E838" s="509"/>
      <c r="F838" s="509">
        <v>1E-3</v>
      </c>
      <c r="G838" s="509"/>
      <c r="H838" s="509"/>
      <c r="I838" s="509"/>
      <c r="J838" s="508"/>
    </row>
    <row r="839" spans="1:10" ht="21" customHeight="1">
      <c r="A839" s="507" t="s">
        <v>30</v>
      </c>
      <c r="B839" s="508" t="s">
        <v>787</v>
      </c>
      <c r="C839" s="508" t="s">
        <v>397</v>
      </c>
      <c r="D839" s="509"/>
      <c r="E839" s="509"/>
      <c r="F839" s="509">
        <v>1E-3</v>
      </c>
      <c r="G839" s="509"/>
      <c r="H839" s="509"/>
      <c r="I839" s="509"/>
      <c r="J839" s="508"/>
    </row>
    <row r="840" spans="1:10" ht="21" customHeight="1">
      <c r="A840" s="507" t="s">
        <v>30</v>
      </c>
      <c r="B840" s="508" t="s">
        <v>788</v>
      </c>
      <c r="C840" s="508" t="s">
        <v>397</v>
      </c>
      <c r="D840" s="509"/>
      <c r="E840" s="509"/>
      <c r="F840" s="509">
        <v>1E-3</v>
      </c>
      <c r="G840" s="509"/>
      <c r="H840" s="509"/>
      <c r="I840" s="509"/>
      <c r="J840" s="508"/>
    </row>
    <row r="841" spans="1:10" ht="21" customHeight="1">
      <c r="A841" s="507" t="s">
        <v>30</v>
      </c>
      <c r="B841" s="508" t="s">
        <v>501</v>
      </c>
      <c r="C841" s="508" t="s">
        <v>397</v>
      </c>
      <c r="D841" s="509"/>
      <c r="E841" s="509"/>
      <c r="F841" s="509"/>
      <c r="G841" s="509">
        <v>877391</v>
      </c>
      <c r="H841" s="509"/>
      <c r="I841" s="509"/>
      <c r="J841" s="508"/>
    </row>
    <row r="842" spans="1:10" ht="21" customHeight="1">
      <c r="A842" s="507" t="s">
        <v>30</v>
      </c>
      <c r="B842" s="508" t="s">
        <v>502</v>
      </c>
      <c r="C842" s="508" t="s">
        <v>397</v>
      </c>
      <c r="D842" s="509"/>
      <c r="E842" s="509"/>
      <c r="F842" s="509"/>
      <c r="G842" s="509">
        <v>681841</v>
      </c>
      <c r="H842" s="509"/>
      <c r="I842" s="509"/>
      <c r="J842" s="508"/>
    </row>
    <row r="843" spans="1:10" ht="21" customHeight="1">
      <c r="A843" s="507" t="s">
        <v>30</v>
      </c>
      <c r="B843" s="508" t="s">
        <v>503</v>
      </c>
      <c r="C843" s="508" t="s">
        <v>397</v>
      </c>
      <c r="D843" s="509"/>
      <c r="E843" s="509"/>
      <c r="F843" s="509"/>
      <c r="G843" s="509">
        <v>0</v>
      </c>
      <c r="H843" s="509"/>
      <c r="I843" s="509"/>
      <c r="J843" s="508"/>
    </row>
    <row r="844" spans="1:10" ht="21" customHeight="1">
      <c r="A844" s="507" t="s">
        <v>30</v>
      </c>
      <c r="B844" s="508" t="s">
        <v>504</v>
      </c>
      <c r="C844" s="508" t="s">
        <v>397</v>
      </c>
      <c r="D844" s="509"/>
      <c r="E844" s="509"/>
      <c r="F844" s="509"/>
      <c r="G844" s="509">
        <v>840601</v>
      </c>
      <c r="H844" s="509"/>
      <c r="I844" s="509"/>
      <c r="J844" s="508"/>
    </row>
    <row r="845" spans="1:10" ht="21" customHeight="1">
      <c r="A845" s="507" t="s">
        <v>30</v>
      </c>
      <c r="B845" s="508" t="s">
        <v>705</v>
      </c>
      <c r="C845" s="508" t="s">
        <v>397</v>
      </c>
      <c r="D845" s="509"/>
      <c r="E845" s="509"/>
      <c r="F845" s="509"/>
      <c r="G845" s="509">
        <v>0</v>
      </c>
      <c r="H845" s="509"/>
      <c r="I845" s="509"/>
      <c r="J845" s="508"/>
    </row>
    <row r="846" spans="1:10" ht="21" customHeight="1">
      <c r="A846" s="507" t="s">
        <v>30</v>
      </c>
      <c r="B846" s="508" t="s">
        <v>605</v>
      </c>
      <c r="C846" s="508" t="s">
        <v>397</v>
      </c>
      <c r="D846" s="509"/>
      <c r="E846" s="509"/>
      <c r="F846" s="509"/>
      <c r="G846" s="509">
        <v>1062389</v>
      </c>
      <c r="H846" s="509"/>
      <c r="I846" s="509"/>
      <c r="J846" s="508"/>
    </row>
    <row r="847" spans="1:10" ht="21" customHeight="1">
      <c r="A847" s="507" t="s">
        <v>30</v>
      </c>
      <c r="B847" s="508" t="s">
        <v>789</v>
      </c>
      <c r="C847" s="508" t="s">
        <v>397</v>
      </c>
      <c r="D847" s="509"/>
      <c r="E847" s="509"/>
      <c r="F847" s="509"/>
      <c r="G847" s="509">
        <v>0</v>
      </c>
      <c r="H847" s="509"/>
      <c r="I847" s="509"/>
      <c r="J847" s="508"/>
    </row>
    <row r="848" spans="1:10" ht="21" customHeight="1">
      <c r="A848" s="507" t="s">
        <v>30</v>
      </c>
      <c r="B848" s="508" t="s">
        <v>790</v>
      </c>
      <c r="C848" s="508" t="s">
        <v>397</v>
      </c>
      <c r="D848" s="509"/>
      <c r="E848" s="509"/>
      <c r="F848" s="509"/>
      <c r="G848" s="509">
        <v>810215</v>
      </c>
      <c r="H848" s="509"/>
      <c r="I848" s="509"/>
      <c r="J848" s="508"/>
    </row>
    <row r="849" spans="1:10" ht="21" customHeight="1">
      <c r="A849" s="507" t="s">
        <v>30</v>
      </c>
      <c r="B849" s="508" t="s">
        <v>791</v>
      </c>
      <c r="C849" s="508" t="s">
        <v>397</v>
      </c>
      <c r="D849" s="509"/>
      <c r="E849" s="509"/>
      <c r="F849" s="509"/>
      <c r="G849" s="509">
        <v>0.01</v>
      </c>
      <c r="H849" s="509"/>
      <c r="I849" s="509"/>
      <c r="J849" s="508"/>
    </row>
    <row r="850" spans="1:10" ht="21" customHeight="1">
      <c r="A850" s="507" t="s">
        <v>30</v>
      </c>
      <c r="B850" s="508" t="s">
        <v>792</v>
      </c>
      <c r="C850" s="508" t="s">
        <v>397</v>
      </c>
      <c r="D850" s="509"/>
      <c r="E850" s="509"/>
      <c r="F850" s="509"/>
      <c r="G850" s="509">
        <v>0.01</v>
      </c>
      <c r="H850" s="509"/>
      <c r="I850" s="509"/>
      <c r="J850" s="508"/>
    </row>
    <row r="851" spans="1:10" ht="21" customHeight="1">
      <c r="A851" s="507" t="s">
        <v>30</v>
      </c>
      <c r="B851" s="508" t="s">
        <v>606</v>
      </c>
      <c r="C851" s="508" t="s">
        <v>397</v>
      </c>
      <c r="D851" s="509"/>
      <c r="E851" s="509"/>
      <c r="F851" s="509"/>
      <c r="G851" s="509">
        <v>0.01</v>
      </c>
      <c r="H851" s="509"/>
      <c r="I851" s="509"/>
      <c r="J851" s="508"/>
    </row>
    <row r="852" spans="1:10" ht="21" customHeight="1">
      <c r="A852" s="507" t="s">
        <v>30</v>
      </c>
      <c r="B852" s="508" t="s">
        <v>707</v>
      </c>
      <c r="C852" s="508" t="s">
        <v>397</v>
      </c>
      <c r="D852" s="509"/>
      <c r="E852" s="509"/>
      <c r="F852" s="509"/>
      <c r="G852" s="509">
        <v>0.01</v>
      </c>
      <c r="H852" s="509"/>
      <c r="I852" s="509"/>
      <c r="J852" s="508"/>
    </row>
    <row r="853" spans="1:10" ht="21" customHeight="1">
      <c r="A853" s="507" t="s">
        <v>30</v>
      </c>
      <c r="B853" s="508" t="s">
        <v>607</v>
      </c>
      <c r="C853" s="508" t="s">
        <v>397</v>
      </c>
      <c r="D853" s="509"/>
      <c r="E853" s="509"/>
      <c r="F853" s="509"/>
      <c r="G853" s="509">
        <v>0.01</v>
      </c>
      <c r="H853" s="509"/>
      <c r="I853" s="509"/>
      <c r="J853" s="508"/>
    </row>
    <row r="854" spans="1:10" ht="21" customHeight="1">
      <c r="A854" s="507" t="s">
        <v>30</v>
      </c>
      <c r="B854" s="508" t="s">
        <v>793</v>
      </c>
      <c r="C854" s="508" t="s">
        <v>397</v>
      </c>
      <c r="D854" s="509"/>
      <c r="E854" s="509"/>
      <c r="F854" s="509"/>
      <c r="G854" s="509">
        <v>0.01</v>
      </c>
      <c r="H854" s="509"/>
      <c r="I854" s="509"/>
      <c r="J854" s="508"/>
    </row>
    <row r="855" spans="1:10" ht="21" customHeight="1">
      <c r="A855" s="507" t="s">
        <v>30</v>
      </c>
      <c r="B855" s="508" t="s">
        <v>794</v>
      </c>
      <c r="C855" s="508" t="s">
        <v>397</v>
      </c>
      <c r="D855" s="509"/>
      <c r="E855" s="509"/>
      <c r="F855" s="509"/>
      <c r="G855" s="509">
        <v>0.01</v>
      </c>
      <c r="H855" s="509"/>
      <c r="I855" s="509"/>
      <c r="J855" s="508"/>
    </row>
    <row r="856" spans="1:10" ht="21" customHeight="1">
      <c r="A856" s="507" t="s">
        <v>30</v>
      </c>
      <c r="B856" s="508" t="s">
        <v>608</v>
      </c>
      <c r="C856" s="508" t="s">
        <v>397</v>
      </c>
      <c r="D856" s="509"/>
      <c r="E856" s="509"/>
      <c r="F856" s="509"/>
      <c r="G856" s="509">
        <v>0.01</v>
      </c>
      <c r="H856" s="509"/>
      <c r="I856" s="509"/>
      <c r="J856" s="508"/>
    </row>
    <row r="857" spans="1:10" ht="21" customHeight="1">
      <c r="A857" s="507" t="s">
        <v>30</v>
      </c>
      <c r="B857" s="508" t="s">
        <v>505</v>
      </c>
      <c r="C857" s="508" t="s">
        <v>397</v>
      </c>
      <c r="D857" s="509"/>
      <c r="E857" s="509"/>
      <c r="F857" s="509"/>
      <c r="G857" s="509"/>
      <c r="H857" s="509">
        <v>839493</v>
      </c>
      <c r="I857" s="509"/>
      <c r="J857" s="508"/>
    </row>
    <row r="858" spans="1:10" ht="21" customHeight="1">
      <c r="A858" s="507" t="s">
        <v>30</v>
      </c>
      <c r="B858" s="508" t="s">
        <v>506</v>
      </c>
      <c r="C858" s="508" t="s">
        <v>397</v>
      </c>
      <c r="D858" s="509"/>
      <c r="E858" s="509"/>
      <c r="F858" s="509"/>
      <c r="G858" s="509"/>
      <c r="H858" s="509">
        <v>720029</v>
      </c>
      <c r="I858" s="509"/>
      <c r="J858" s="508"/>
    </row>
    <row r="859" spans="1:10" ht="21" customHeight="1">
      <c r="A859" s="507" t="s">
        <v>30</v>
      </c>
      <c r="B859" s="508" t="s">
        <v>507</v>
      </c>
      <c r="C859" s="508" t="s">
        <v>397</v>
      </c>
      <c r="D859" s="509"/>
      <c r="E859" s="509"/>
      <c r="F859" s="509"/>
      <c r="G859" s="509"/>
      <c r="H859" s="509">
        <v>0</v>
      </c>
      <c r="I859" s="509"/>
      <c r="J859" s="508"/>
    </row>
    <row r="860" spans="1:10" ht="21" customHeight="1">
      <c r="A860" s="507" t="s">
        <v>30</v>
      </c>
      <c r="B860" s="508" t="s">
        <v>508</v>
      </c>
      <c r="C860" s="508" t="s">
        <v>397</v>
      </c>
      <c r="D860" s="509"/>
      <c r="E860" s="509"/>
      <c r="F860" s="509"/>
      <c r="G860" s="509"/>
      <c r="H860" s="509">
        <v>0</v>
      </c>
      <c r="I860" s="509"/>
      <c r="J860" s="508"/>
    </row>
    <row r="861" spans="1:10" ht="21" customHeight="1">
      <c r="A861" s="507" t="s">
        <v>30</v>
      </c>
      <c r="B861" s="508" t="s">
        <v>708</v>
      </c>
      <c r="C861" s="508" t="s">
        <v>397</v>
      </c>
      <c r="D861" s="509"/>
      <c r="E861" s="509"/>
      <c r="F861" s="509"/>
      <c r="G861" s="509"/>
      <c r="H861" s="509">
        <v>1045326</v>
      </c>
      <c r="I861" s="509"/>
      <c r="J861" s="508"/>
    </row>
    <row r="862" spans="1:10" ht="21" customHeight="1">
      <c r="A862" s="507" t="s">
        <v>30</v>
      </c>
      <c r="B862" s="508" t="s">
        <v>795</v>
      </c>
      <c r="C862" s="508" t="s">
        <v>397</v>
      </c>
      <c r="D862" s="509"/>
      <c r="E862" s="509"/>
      <c r="F862" s="509"/>
      <c r="G862" s="509"/>
      <c r="H862" s="509">
        <v>1047569</v>
      </c>
      <c r="I862" s="509"/>
      <c r="J862" s="508"/>
    </row>
    <row r="863" spans="1:10" ht="21" customHeight="1">
      <c r="A863" s="507" t="s">
        <v>30</v>
      </c>
      <c r="B863" s="508" t="s">
        <v>796</v>
      </c>
      <c r="C863" s="508" t="s">
        <v>397</v>
      </c>
      <c r="D863" s="509"/>
      <c r="E863" s="509"/>
      <c r="F863" s="509"/>
      <c r="G863" s="509"/>
      <c r="H863" s="509">
        <v>0</v>
      </c>
      <c r="I863" s="509"/>
      <c r="J863" s="508"/>
    </row>
    <row r="864" spans="1:10" ht="21" customHeight="1">
      <c r="A864" s="507" t="s">
        <v>30</v>
      </c>
      <c r="B864" s="508" t="s">
        <v>797</v>
      </c>
      <c r="C864" s="508" t="s">
        <v>397</v>
      </c>
      <c r="D864" s="509"/>
      <c r="E864" s="509"/>
      <c r="F864" s="509"/>
      <c r="G864" s="509"/>
      <c r="H864" s="509">
        <v>723335</v>
      </c>
      <c r="I864" s="509"/>
      <c r="J864" s="508"/>
    </row>
    <row r="865" spans="1:10" ht="21" customHeight="1">
      <c r="A865" s="507" t="s">
        <v>30</v>
      </c>
      <c r="B865" s="508" t="s">
        <v>798</v>
      </c>
      <c r="C865" s="508" t="s">
        <v>397</v>
      </c>
      <c r="D865" s="509"/>
      <c r="E865" s="509"/>
      <c r="F865" s="509"/>
      <c r="G865" s="509"/>
      <c r="H865" s="509">
        <v>1E-3</v>
      </c>
      <c r="I865" s="509"/>
      <c r="J865" s="508"/>
    </row>
    <row r="866" spans="1:10" ht="21" customHeight="1">
      <c r="A866" s="507" t="s">
        <v>30</v>
      </c>
      <c r="B866" s="508" t="s">
        <v>799</v>
      </c>
      <c r="C866" s="508" t="s">
        <v>397</v>
      </c>
      <c r="D866" s="509"/>
      <c r="E866" s="509"/>
      <c r="F866" s="509"/>
      <c r="G866" s="509"/>
      <c r="H866" s="509">
        <v>1E-3</v>
      </c>
      <c r="I866" s="509"/>
      <c r="J866" s="508"/>
    </row>
    <row r="867" spans="1:10" ht="21" customHeight="1">
      <c r="A867" s="507" t="s">
        <v>30</v>
      </c>
      <c r="B867" s="508" t="s">
        <v>800</v>
      </c>
      <c r="C867" s="508" t="s">
        <v>397</v>
      </c>
      <c r="D867" s="509"/>
      <c r="E867" s="509"/>
      <c r="F867" s="509"/>
      <c r="G867" s="509"/>
      <c r="H867" s="509">
        <v>1E-3</v>
      </c>
      <c r="I867" s="509"/>
      <c r="J867" s="508"/>
    </row>
    <row r="868" spans="1:10" ht="21" customHeight="1">
      <c r="A868" s="507" t="s">
        <v>30</v>
      </c>
      <c r="B868" s="508" t="s">
        <v>710</v>
      </c>
      <c r="C868" s="508" t="s">
        <v>397</v>
      </c>
      <c r="D868" s="509"/>
      <c r="E868" s="509"/>
      <c r="F868" s="509"/>
      <c r="G868" s="509"/>
      <c r="H868" s="509">
        <v>1E-3</v>
      </c>
      <c r="I868" s="509"/>
      <c r="J868" s="508"/>
    </row>
    <row r="869" spans="1:10" ht="21" customHeight="1">
      <c r="A869" s="507" t="s">
        <v>30</v>
      </c>
      <c r="B869" s="508" t="s">
        <v>711</v>
      </c>
      <c r="C869" s="508" t="s">
        <v>397</v>
      </c>
      <c r="D869" s="509"/>
      <c r="E869" s="509"/>
      <c r="F869" s="509"/>
      <c r="G869" s="509"/>
      <c r="H869" s="509">
        <v>1E-3</v>
      </c>
      <c r="I869" s="509"/>
      <c r="J869" s="508"/>
    </row>
    <row r="870" spans="1:10" ht="21" customHeight="1">
      <c r="A870" s="507" t="s">
        <v>30</v>
      </c>
      <c r="B870" s="508" t="s">
        <v>801</v>
      </c>
      <c r="C870" s="508" t="s">
        <v>397</v>
      </c>
      <c r="D870" s="509"/>
      <c r="E870" s="509"/>
      <c r="F870" s="509"/>
      <c r="G870" s="509"/>
      <c r="H870" s="509">
        <v>1E-3</v>
      </c>
      <c r="I870" s="509"/>
      <c r="J870" s="508"/>
    </row>
    <row r="871" spans="1:10" ht="21" customHeight="1">
      <c r="A871" s="507" t="s">
        <v>30</v>
      </c>
      <c r="B871" s="508" t="s">
        <v>802</v>
      </c>
      <c r="C871" s="508" t="s">
        <v>397</v>
      </c>
      <c r="D871" s="509"/>
      <c r="E871" s="509"/>
      <c r="F871" s="509"/>
      <c r="G871" s="509"/>
      <c r="H871" s="509">
        <v>1E-3</v>
      </c>
      <c r="I871" s="509"/>
      <c r="J871" s="508"/>
    </row>
    <row r="872" spans="1:10" ht="21" customHeight="1">
      <c r="A872" s="507" t="s">
        <v>30</v>
      </c>
      <c r="B872" s="508" t="s">
        <v>803</v>
      </c>
      <c r="C872" s="508" t="s">
        <v>397</v>
      </c>
      <c r="D872" s="509"/>
      <c r="E872" s="509"/>
      <c r="F872" s="509"/>
      <c r="G872" s="509"/>
      <c r="H872" s="509">
        <v>1E-3</v>
      </c>
      <c r="I872" s="509"/>
      <c r="J872" s="508"/>
    </row>
    <row r="873" spans="1:10" ht="21" customHeight="1">
      <c r="A873" s="507" t="s">
        <v>30</v>
      </c>
      <c r="B873" s="508" t="s">
        <v>509</v>
      </c>
      <c r="C873" s="508" t="s">
        <v>397</v>
      </c>
      <c r="D873" s="509"/>
      <c r="E873" s="509"/>
      <c r="F873" s="509"/>
      <c r="G873" s="509"/>
      <c r="H873" s="509"/>
      <c r="I873" s="509">
        <f>Aguirre!B28</f>
        <v>1193105</v>
      </c>
      <c r="J873" s="508"/>
    </row>
    <row r="874" spans="1:10" ht="21" customHeight="1">
      <c r="A874" s="507" t="s">
        <v>30</v>
      </c>
      <c r="B874" s="508" t="s">
        <v>510</v>
      </c>
      <c r="C874" s="508" t="s">
        <v>397</v>
      </c>
      <c r="D874" s="509"/>
      <c r="E874" s="509"/>
      <c r="F874" s="509"/>
      <c r="G874" s="509"/>
      <c r="H874" s="509"/>
      <c r="I874" s="509">
        <f>Aguirre!C28</f>
        <v>1003434</v>
      </c>
      <c r="J874" s="508"/>
    </row>
    <row r="875" spans="1:10" ht="21" customHeight="1">
      <c r="A875" s="507" t="s">
        <v>30</v>
      </c>
      <c r="B875" s="508" t="s">
        <v>511</v>
      </c>
      <c r="C875" s="508" t="s">
        <v>397</v>
      </c>
      <c r="D875" s="509"/>
      <c r="E875" s="509"/>
      <c r="F875" s="509"/>
      <c r="G875" s="509"/>
      <c r="H875" s="509"/>
      <c r="I875" s="509">
        <f>Aguirre!D28</f>
        <v>0</v>
      </c>
      <c r="J875" s="508"/>
    </row>
    <row r="876" spans="1:10" ht="21" customHeight="1">
      <c r="A876" s="507" t="s">
        <v>30</v>
      </c>
      <c r="B876" s="508" t="s">
        <v>512</v>
      </c>
      <c r="C876" s="508" t="s">
        <v>397</v>
      </c>
      <c r="D876" s="509"/>
      <c r="E876" s="509"/>
      <c r="F876" s="509"/>
      <c r="G876" s="509"/>
      <c r="H876" s="509"/>
      <c r="I876" s="509">
        <f>Aguirre!E28</f>
        <v>0</v>
      </c>
      <c r="J876" s="508"/>
    </row>
    <row r="877" spans="1:10" ht="21" customHeight="1">
      <c r="A877" s="507" t="s">
        <v>30</v>
      </c>
      <c r="B877" s="508" t="s">
        <v>569</v>
      </c>
      <c r="C877" s="508" t="s">
        <v>397</v>
      </c>
      <c r="D877" s="509"/>
      <c r="E877" s="509"/>
      <c r="F877" s="509"/>
      <c r="G877" s="509"/>
      <c r="H877" s="509"/>
      <c r="I877" s="509">
        <f>Aguirre!F28</f>
        <v>598335</v>
      </c>
      <c r="J877" s="508"/>
    </row>
    <row r="878" spans="1:10" ht="21" customHeight="1">
      <c r="A878" s="507" t="s">
        <v>30</v>
      </c>
      <c r="B878" s="508" t="s">
        <v>804</v>
      </c>
      <c r="C878" s="508" t="s">
        <v>397</v>
      </c>
      <c r="D878" s="509"/>
      <c r="E878" s="509"/>
      <c r="F878" s="509"/>
      <c r="G878" s="509"/>
      <c r="H878" s="509"/>
      <c r="I878" s="509">
        <f>Aguirre!H28</f>
        <v>900401</v>
      </c>
      <c r="J878" s="508"/>
    </row>
    <row r="879" spans="1:10" ht="21" customHeight="1">
      <c r="A879" s="507" t="s">
        <v>30</v>
      </c>
      <c r="B879" s="508" t="s">
        <v>805</v>
      </c>
      <c r="C879" s="508" t="s">
        <v>397</v>
      </c>
      <c r="D879" s="509"/>
      <c r="E879" s="509"/>
      <c r="F879" s="509"/>
      <c r="G879" s="509"/>
      <c r="H879" s="509"/>
      <c r="I879" s="509">
        <f>Aguirre!I28</f>
        <v>0</v>
      </c>
      <c r="J879" s="508"/>
    </row>
    <row r="880" spans="1:10" ht="21" customHeight="1">
      <c r="A880" s="507" t="s">
        <v>30</v>
      </c>
      <c r="B880" s="508" t="s">
        <v>806</v>
      </c>
      <c r="C880" s="508" t="s">
        <v>397</v>
      </c>
      <c r="D880" s="509"/>
      <c r="E880" s="509"/>
      <c r="F880" s="509"/>
      <c r="G880" s="509"/>
      <c r="H880" s="509"/>
      <c r="I880" s="509">
        <f>Aguirre!J28</f>
        <v>1057264</v>
      </c>
      <c r="J880" s="508"/>
    </row>
    <row r="881" spans="1:10" ht="21" customHeight="1">
      <c r="A881" s="507" t="s">
        <v>30</v>
      </c>
      <c r="B881" s="508" t="s">
        <v>807</v>
      </c>
      <c r="C881" s="508" t="s">
        <v>397</v>
      </c>
      <c r="D881" s="509"/>
      <c r="E881" s="509"/>
      <c r="F881" s="509"/>
      <c r="G881" s="509"/>
      <c r="H881" s="509"/>
      <c r="I881" s="509">
        <f>Aguirre!K28</f>
        <v>0.01</v>
      </c>
      <c r="J881" s="508"/>
    </row>
    <row r="882" spans="1:10" ht="21" customHeight="1">
      <c r="A882" s="507" t="s">
        <v>30</v>
      </c>
      <c r="B882" s="508" t="s">
        <v>808</v>
      </c>
      <c r="C882" s="508" t="s">
        <v>397</v>
      </c>
      <c r="D882" s="509"/>
      <c r="E882" s="509"/>
      <c r="F882" s="509"/>
      <c r="G882" s="509"/>
      <c r="H882" s="509"/>
      <c r="I882" s="509">
        <f>Aguirre!L28</f>
        <v>0.01</v>
      </c>
      <c r="J882" s="508"/>
    </row>
    <row r="883" spans="1:10" ht="21" customHeight="1">
      <c r="A883" s="507" t="s">
        <v>30</v>
      </c>
      <c r="B883" s="508" t="s">
        <v>809</v>
      </c>
      <c r="C883" s="508" t="s">
        <v>397</v>
      </c>
      <c r="D883" s="509"/>
      <c r="E883" s="509"/>
      <c r="F883" s="509"/>
      <c r="G883" s="509"/>
      <c r="H883" s="509"/>
      <c r="I883" s="509">
        <f>Aguirre!M28</f>
        <v>0.01</v>
      </c>
      <c r="J883" s="508"/>
    </row>
    <row r="884" spans="1:10" ht="21" customHeight="1">
      <c r="A884" s="507" t="s">
        <v>30</v>
      </c>
      <c r="B884" s="508" t="s">
        <v>712</v>
      </c>
      <c r="C884" s="508" t="s">
        <v>397</v>
      </c>
      <c r="D884" s="509"/>
      <c r="E884" s="509"/>
      <c r="F884" s="509"/>
      <c r="G884" s="509"/>
      <c r="H884" s="509"/>
      <c r="I884" s="509">
        <f>Aguirre!N28</f>
        <v>0.01</v>
      </c>
      <c r="J884" s="508"/>
    </row>
    <row r="885" spans="1:10" ht="21" customHeight="1">
      <c r="A885" s="507" t="s">
        <v>30</v>
      </c>
      <c r="B885" s="508" t="s">
        <v>713</v>
      </c>
      <c r="C885" s="508" t="s">
        <v>397</v>
      </c>
      <c r="D885" s="509"/>
      <c r="E885" s="509"/>
      <c r="F885" s="509"/>
      <c r="G885" s="509"/>
      <c r="H885" s="509"/>
      <c r="I885" s="509">
        <f>Aguirre!O28</f>
        <v>0.01</v>
      </c>
      <c r="J885" s="508"/>
    </row>
    <row r="886" spans="1:10" ht="21" customHeight="1">
      <c r="A886" s="507" t="s">
        <v>30</v>
      </c>
      <c r="B886" s="508" t="s">
        <v>810</v>
      </c>
      <c r="C886" s="508" t="s">
        <v>397</v>
      </c>
      <c r="D886" s="509"/>
      <c r="E886" s="509"/>
      <c r="F886" s="509"/>
      <c r="G886" s="509"/>
      <c r="H886" s="509"/>
      <c r="I886" s="509">
        <f>Aguirre!P28</f>
        <v>0.01</v>
      </c>
      <c r="J886" s="508"/>
    </row>
    <row r="887" spans="1:10" ht="21" customHeight="1">
      <c r="A887" s="507" t="s">
        <v>30</v>
      </c>
      <c r="B887" s="508" t="s">
        <v>811</v>
      </c>
      <c r="C887" s="508" t="s">
        <v>397</v>
      </c>
      <c r="D887" s="509"/>
      <c r="E887" s="509"/>
      <c r="F887" s="509"/>
      <c r="G887" s="509"/>
      <c r="H887" s="509"/>
      <c r="I887" s="509">
        <f>Aguirre!Q28</f>
        <v>0.01</v>
      </c>
      <c r="J887" s="508"/>
    </row>
    <row r="888" spans="1:10" ht="21" customHeight="1">
      <c r="A888" s="507" t="s">
        <v>30</v>
      </c>
      <c r="B888" s="508" t="s">
        <v>812</v>
      </c>
      <c r="C888" s="508" t="s">
        <v>397</v>
      </c>
      <c r="D888" s="509"/>
      <c r="E888" s="509"/>
      <c r="F888" s="509"/>
      <c r="G888" s="509"/>
      <c r="H888" s="509"/>
      <c r="I888" s="509">
        <f>Aguirre!R28</f>
        <v>0.01</v>
      </c>
      <c r="J888" s="508"/>
    </row>
    <row r="889" spans="1:10" ht="21" customHeight="1">
      <c r="A889" s="507" t="s">
        <v>30</v>
      </c>
      <c r="B889" s="508" t="s">
        <v>622</v>
      </c>
      <c r="C889" s="508" t="s">
        <v>397</v>
      </c>
      <c r="D889" s="509">
        <v>0</v>
      </c>
      <c r="E889" s="509"/>
      <c r="F889" s="509"/>
      <c r="G889" s="509"/>
      <c r="H889" s="509"/>
      <c r="I889" s="509"/>
      <c r="J889" s="508"/>
    </row>
    <row r="890" spans="1:10" ht="21" customHeight="1">
      <c r="A890" s="507" t="s">
        <v>30</v>
      </c>
      <c r="B890" s="508" t="s">
        <v>543</v>
      </c>
      <c r="C890" s="508" t="s">
        <v>397</v>
      </c>
      <c r="D890" s="509">
        <v>0</v>
      </c>
      <c r="E890" s="509"/>
      <c r="F890" s="509"/>
      <c r="G890" s="509"/>
      <c r="H890" s="509"/>
      <c r="I890" s="509"/>
      <c r="J890" s="508"/>
    </row>
    <row r="891" spans="1:10" ht="21" customHeight="1">
      <c r="A891" s="507" t="s">
        <v>30</v>
      </c>
      <c r="B891" s="508" t="s">
        <v>813</v>
      </c>
      <c r="C891" s="508" t="s">
        <v>674</v>
      </c>
      <c r="D891" s="509"/>
      <c r="E891" s="509"/>
      <c r="F891" s="509"/>
      <c r="G891" s="509"/>
      <c r="H891" s="509"/>
      <c r="I891" s="509"/>
      <c r="J891" s="508"/>
    </row>
    <row r="892" spans="1:10" ht="21" customHeight="1">
      <c r="A892" s="507" t="s">
        <v>30</v>
      </c>
      <c r="B892" s="508" t="s">
        <v>814</v>
      </c>
      <c r="C892" s="508" t="s">
        <v>674</v>
      </c>
      <c r="D892" s="509"/>
      <c r="E892" s="509"/>
      <c r="F892" s="509"/>
      <c r="G892" s="509"/>
      <c r="H892" s="509"/>
      <c r="I892" s="509"/>
      <c r="J892" s="508"/>
    </row>
    <row r="893" spans="1:10" ht="21" customHeight="1">
      <c r="A893" s="507" t="s">
        <v>30</v>
      </c>
      <c r="B893" s="508" t="s">
        <v>517</v>
      </c>
      <c r="C893" s="508" t="s">
        <v>397</v>
      </c>
      <c r="D893" s="509"/>
      <c r="E893" s="509">
        <v>0</v>
      </c>
      <c r="F893" s="509"/>
      <c r="G893" s="509"/>
      <c r="H893" s="509"/>
      <c r="I893" s="509"/>
      <c r="J893" s="508"/>
    </row>
    <row r="894" spans="1:10" ht="21" customHeight="1">
      <c r="A894" s="507" t="s">
        <v>30</v>
      </c>
      <c r="B894" s="508" t="s">
        <v>518</v>
      </c>
      <c r="C894" s="508" t="s">
        <v>397</v>
      </c>
      <c r="D894" s="509"/>
      <c r="E894" s="509">
        <v>0</v>
      </c>
      <c r="F894" s="509"/>
      <c r="G894" s="509"/>
      <c r="H894" s="509"/>
      <c r="I894" s="509"/>
      <c r="J894" s="508"/>
    </row>
    <row r="895" spans="1:10" ht="21" customHeight="1">
      <c r="A895" s="507" t="s">
        <v>30</v>
      </c>
      <c r="B895" s="508" t="s">
        <v>815</v>
      </c>
      <c r="C895" s="508" t="s">
        <v>674</v>
      </c>
      <c r="D895" s="509"/>
      <c r="E895" s="509"/>
      <c r="F895" s="509"/>
      <c r="G895" s="509"/>
      <c r="H895" s="509"/>
      <c r="I895" s="509"/>
      <c r="J895" s="508"/>
    </row>
    <row r="896" spans="1:10" ht="21" customHeight="1">
      <c r="A896" s="507" t="s">
        <v>30</v>
      </c>
      <c r="B896" s="508" t="s">
        <v>816</v>
      </c>
      <c r="C896" s="508" t="s">
        <v>674</v>
      </c>
      <c r="D896" s="509"/>
      <c r="E896" s="509"/>
      <c r="F896" s="509"/>
      <c r="G896" s="509"/>
      <c r="H896" s="509"/>
      <c r="I896" s="509"/>
      <c r="J896" s="508"/>
    </row>
    <row r="897" spans="1:10" ht="21" customHeight="1">
      <c r="A897" s="507" t="s">
        <v>30</v>
      </c>
      <c r="B897" s="508" t="s">
        <v>519</v>
      </c>
      <c r="C897" s="508" t="s">
        <v>397</v>
      </c>
      <c r="D897" s="509"/>
      <c r="E897" s="509"/>
      <c r="F897" s="509">
        <v>0</v>
      </c>
      <c r="G897" s="509"/>
      <c r="H897" s="509"/>
      <c r="I897" s="509"/>
      <c r="J897" s="508"/>
    </row>
    <row r="898" spans="1:10" ht="21" customHeight="1">
      <c r="A898" s="507" t="s">
        <v>30</v>
      </c>
      <c r="B898" s="508" t="s">
        <v>520</v>
      </c>
      <c r="C898" s="508" t="s">
        <v>397</v>
      </c>
      <c r="D898" s="509"/>
      <c r="E898" s="509"/>
      <c r="F898" s="509">
        <v>0</v>
      </c>
      <c r="G898" s="509"/>
      <c r="H898" s="509"/>
      <c r="I898" s="509"/>
      <c r="J898" s="508"/>
    </row>
    <row r="899" spans="1:10" ht="21" customHeight="1">
      <c r="A899" s="507" t="s">
        <v>30</v>
      </c>
      <c r="B899" s="508" t="s">
        <v>817</v>
      </c>
      <c r="C899" s="508" t="s">
        <v>674</v>
      </c>
      <c r="D899" s="509"/>
      <c r="E899" s="509"/>
      <c r="F899" s="509"/>
      <c r="G899" s="509"/>
      <c r="H899" s="509"/>
      <c r="I899" s="509"/>
      <c r="J899" s="508"/>
    </row>
    <row r="900" spans="1:10" ht="21" customHeight="1">
      <c r="A900" s="507" t="s">
        <v>30</v>
      </c>
      <c r="B900" s="508" t="s">
        <v>818</v>
      </c>
      <c r="C900" s="508" t="s">
        <v>674</v>
      </c>
      <c r="D900" s="509"/>
      <c r="E900" s="509"/>
      <c r="F900" s="509"/>
      <c r="G900" s="509"/>
      <c r="H900" s="509"/>
      <c r="I900" s="509"/>
      <c r="J900" s="508"/>
    </row>
    <row r="901" spans="1:10" ht="21" customHeight="1">
      <c r="A901" s="507" t="s">
        <v>30</v>
      </c>
      <c r="B901" s="508" t="s">
        <v>521</v>
      </c>
      <c r="C901" s="508" t="s">
        <v>397</v>
      </c>
      <c r="D901" s="509"/>
      <c r="E901" s="509"/>
      <c r="F901" s="509"/>
      <c r="G901" s="509">
        <v>0</v>
      </c>
      <c r="H901" s="509"/>
      <c r="I901" s="509"/>
      <c r="J901" s="508"/>
    </row>
    <row r="902" spans="1:10" ht="21" customHeight="1">
      <c r="A902" s="507" t="s">
        <v>30</v>
      </c>
      <c r="B902" s="508" t="s">
        <v>522</v>
      </c>
      <c r="C902" s="508" t="s">
        <v>397</v>
      </c>
      <c r="D902" s="509"/>
      <c r="E902" s="509"/>
      <c r="F902" s="509"/>
      <c r="G902" s="509">
        <v>0</v>
      </c>
      <c r="H902" s="509"/>
      <c r="I902" s="509"/>
      <c r="J902" s="508"/>
    </row>
    <row r="903" spans="1:10" ht="21" customHeight="1">
      <c r="A903" s="507" t="s">
        <v>30</v>
      </c>
      <c r="B903" s="508" t="s">
        <v>819</v>
      </c>
      <c r="C903" s="508" t="s">
        <v>674</v>
      </c>
      <c r="D903" s="509"/>
      <c r="E903" s="509"/>
      <c r="F903" s="509"/>
      <c r="G903" s="509"/>
      <c r="H903" s="509"/>
      <c r="I903" s="509"/>
      <c r="J903" s="508"/>
    </row>
    <row r="904" spans="1:10" ht="21" customHeight="1">
      <c r="A904" s="507" t="s">
        <v>30</v>
      </c>
      <c r="B904" s="508" t="s">
        <v>623</v>
      </c>
      <c r="C904" s="508" t="s">
        <v>674</v>
      </c>
      <c r="D904" s="509"/>
      <c r="E904" s="509"/>
      <c r="F904" s="509"/>
      <c r="G904" s="509"/>
      <c r="H904" s="509"/>
      <c r="I904" s="509"/>
      <c r="J904" s="508"/>
    </row>
    <row r="905" spans="1:10" ht="21" customHeight="1">
      <c r="A905" s="507" t="s">
        <v>30</v>
      </c>
      <c r="B905" s="508" t="s">
        <v>523</v>
      </c>
      <c r="C905" s="508" t="s">
        <v>397</v>
      </c>
      <c r="D905" s="509"/>
      <c r="E905" s="509"/>
      <c r="F905" s="509"/>
      <c r="G905" s="509"/>
      <c r="H905" s="509">
        <v>0</v>
      </c>
      <c r="I905" s="509"/>
      <c r="J905" s="508"/>
    </row>
    <row r="906" spans="1:10" ht="21" customHeight="1">
      <c r="A906" s="507" t="s">
        <v>30</v>
      </c>
      <c r="B906" s="508" t="s">
        <v>524</v>
      </c>
      <c r="C906" s="508" t="s">
        <v>397</v>
      </c>
      <c r="D906" s="509"/>
      <c r="E906" s="509"/>
      <c r="F906" s="509"/>
      <c r="G906" s="509"/>
      <c r="H906" s="509">
        <v>0</v>
      </c>
      <c r="I906" s="509"/>
      <c r="J906" s="508"/>
    </row>
    <row r="907" spans="1:10" ht="21" customHeight="1">
      <c r="A907" s="507" t="s">
        <v>30</v>
      </c>
      <c r="B907" s="508" t="s">
        <v>820</v>
      </c>
      <c r="C907" s="508" t="s">
        <v>397</v>
      </c>
      <c r="D907" s="509"/>
      <c r="E907" s="509"/>
      <c r="F907" s="509"/>
      <c r="G907" s="509"/>
      <c r="H907" s="509">
        <v>0</v>
      </c>
      <c r="I907" s="509"/>
      <c r="J907" s="508"/>
    </row>
    <row r="908" spans="1:10" ht="21" customHeight="1">
      <c r="A908" s="507" t="s">
        <v>30</v>
      </c>
      <c r="B908" s="508" t="s">
        <v>821</v>
      </c>
      <c r="C908" s="508" t="s">
        <v>397</v>
      </c>
      <c r="D908" s="509"/>
      <c r="E908" s="509"/>
      <c r="F908" s="509"/>
      <c r="G908" s="509"/>
      <c r="H908" s="509">
        <v>0</v>
      </c>
      <c r="I908" s="509"/>
      <c r="J908" s="508"/>
    </row>
    <row r="909" spans="1:10" ht="21" customHeight="1">
      <c r="A909" s="507" t="s">
        <v>30</v>
      </c>
      <c r="B909" s="508" t="s">
        <v>525</v>
      </c>
      <c r="C909" s="508" t="s">
        <v>397</v>
      </c>
      <c r="D909" s="509"/>
      <c r="E909" s="509"/>
      <c r="F909" s="509"/>
      <c r="G909" s="509"/>
      <c r="H909" s="509"/>
      <c r="I909" s="509">
        <f>Aguirre!B46</f>
        <v>0</v>
      </c>
      <c r="J909" s="508"/>
    </row>
    <row r="910" spans="1:10" ht="21" customHeight="1">
      <c r="A910" s="507" t="s">
        <v>30</v>
      </c>
      <c r="B910" s="508" t="s">
        <v>526</v>
      </c>
      <c r="C910" s="508" t="s">
        <v>397</v>
      </c>
      <c r="D910" s="509"/>
      <c r="E910" s="509"/>
      <c r="F910" s="509"/>
      <c r="G910" s="509"/>
      <c r="H910" s="509"/>
      <c r="I910" s="509">
        <f>Aguirre!C46</f>
        <v>0</v>
      </c>
      <c r="J910" s="508"/>
    </row>
    <row r="911" spans="1:10" ht="21" customHeight="1">
      <c r="A911" s="507" t="s">
        <v>30</v>
      </c>
      <c r="B911" s="508" t="s">
        <v>822</v>
      </c>
      <c r="C911" s="508" t="s">
        <v>397</v>
      </c>
      <c r="D911" s="509"/>
      <c r="E911" s="509"/>
      <c r="F911" s="509"/>
      <c r="G911" s="509"/>
      <c r="H911" s="509"/>
      <c r="I911" s="509">
        <f>Aguirre!D46</f>
        <v>0</v>
      </c>
      <c r="J911" s="508"/>
    </row>
    <row r="912" spans="1:10" ht="21" customHeight="1">
      <c r="A912" s="507" t="s">
        <v>30</v>
      </c>
      <c r="B912" s="508" t="s">
        <v>544</v>
      </c>
      <c r="C912" s="508" t="s">
        <v>397</v>
      </c>
      <c r="D912" s="509"/>
      <c r="E912" s="509"/>
      <c r="F912" s="509"/>
      <c r="G912" s="509"/>
      <c r="H912" s="509"/>
      <c r="I912" s="509">
        <f>Aguirre!E46</f>
        <v>0</v>
      </c>
      <c r="J912" s="508"/>
    </row>
    <row r="913" spans="1:10" ht="21" customHeight="1">
      <c r="A913" s="510" t="s">
        <v>823</v>
      </c>
      <c r="B913" s="506"/>
      <c r="C913" s="506"/>
      <c r="D913" s="511"/>
      <c r="E913" s="511"/>
      <c r="F913" s="511"/>
      <c r="G913" s="511"/>
      <c r="H913" s="511"/>
      <c r="I913" s="512"/>
      <c r="J913" s="506"/>
    </row>
    <row r="914" spans="1:10" ht="21" customHeight="1">
      <c r="A914" s="507" t="s">
        <v>823</v>
      </c>
      <c r="B914" s="508" t="s">
        <v>464</v>
      </c>
      <c r="C914" s="508" t="s">
        <v>411</v>
      </c>
      <c r="D914" s="509">
        <f>$D$757</f>
        <v>11653643</v>
      </c>
      <c r="E914" s="509">
        <f>$E$764</f>
        <v>8524821.9000000004</v>
      </c>
      <c r="F914" s="509">
        <f>$F$771</f>
        <v>9754754.9399999995</v>
      </c>
      <c r="G914" s="509">
        <f>$G$776</f>
        <v>8788477</v>
      </c>
      <c r="H914" s="509">
        <f>$H$783</f>
        <v>11219708.639999999</v>
      </c>
      <c r="I914" s="509">
        <f>$I$790</f>
        <v>11128871.039999999</v>
      </c>
      <c r="J914" s="508" t="s">
        <v>107</v>
      </c>
    </row>
    <row r="915" spans="1:10" ht="21" customHeight="1">
      <c r="A915" s="507" t="s">
        <v>823</v>
      </c>
      <c r="B915" s="508" t="s">
        <v>824</v>
      </c>
      <c r="C915" s="508" t="s">
        <v>411</v>
      </c>
      <c r="D915" s="509">
        <f>SUM($D$793,$D$794,$D$795,$D$796,$D$797,$D$798,$D$799,$D$800,$D$889,$D$890)</f>
        <v>4126785</v>
      </c>
      <c r="E915" s="509">
        <f>SUM($E$809,$E$810,$E$811,$E$812,$E$813,$E$814,$E$815,$E$816,$E$893,$E$894)</f>
        <v>3476405</v>
      </c>
      <c r="F915" s="509">
        <f>SUM($F$825,$F$826,$F$827,$F$828,$F$829,$F$830,$F$831,$F$832,$F$897,$F$898)</f>
        <v>3189609</v>
      </c>
      <c r="G915" s="509">
        <f>SUM($G$841,$G$842,$G$843,$G$844,$G$845,$G$846,$G$847,$G$848,$G$901,$G$902)</f>
        <v>4272437</v>
      </c>
      <c r="H915" s="509">
        <f>SUM($H$857,$H$858,$H$859,$H$860,$H$861,$H$862,$H$863,$H$864,$H$905,$H$906)</f>
        <v>4375752</v>
      </c>
      <c r="I915" s="509">
        <f>SUM($I$873,$I$874,$I$875,$I$876,$I$877,$I$878,$I$879,$I$880,$I$909,$I$910)</f>
        <v>4752539</v>
      </c>
      <c r="J915" s="508" t="s">
        <v>107</v>
      </c>
    </row>
    <row r="916" spans="1:10" ht="21" customHeight="1">
      <c r="A916" s="507" t="s">
        <v>823</v>
      </c>
      <c r="B916" s="508" t="s">
        <v>825</v>
      </c>
      <c r="C916" s="508" t="s">
        <v>411</v>
      </c>
      <c r="D916" s="509">
        <f>323412*2204.6/28478821</f>
        <v>25.035941452772921</v>
      </c>
      <c r="E916" s="509">
        <f>323412*2204.6/28478821</f>
        <v>25.035941452772921</v>
      </c>
      <c r="F916" s="509">
        <f>323412*2204.6/28478821</f>
        <v>25.035941452772921</v>
      </c>
      <c r="G916" s="509">
        <f>323412*2204.6/28478821</f>
        <v>25.035941452772921</v>
      </c>
      <c r="H916" s="509">
        <f>323412*2204.6/28478821</f>
        <v>25.035941452772921</v>
      </c>
      <c r="I916" s="509">
        <f>323412*2204.6/28478821</f>
        <v>25.035941452772921</v>
      </c>
      <c r="J916" s="508" t="s">
        <v>107</v>
      </c>
    </row>
    <row r="917" spans="1:10" ht="21" customHeight="1">
      <c r="A917" s="507" t="s">
        <v>823</v>
      </c>
      <c r="B917" s="508" t="s">
        <v>469</v>
      </c>
      <c r="C917" s="508" t="s">
        <v>411</v>
      </c>
      <c r="D917" s="509">
        <f>AVERAGE($D$758,$D$759)</f>
        <v>0.43</v>
      </c>
      <c r="E917" s="509">
        <f>AVERAGE($E$765,$E$766)</f>
        <v>0.46</v>
      </c>
      <c r="F917" s="509">
        <f>AVERAGE($F$772,$F$773)</f>
        <v>0.45</v>
      </c>
      <c r="G917" s="509">
        <f>AVERAGE($G$777,$G$778)</f>
        <v>0.46</v>
      </c>
      <c r="H917" s="509">
        <f>AVERAGE($H$784,$H$785)</f>
        <v>0.46</v>
      </c>
      <c r="I917" s="509">
        <f>AVERAGE($I$791,$I$792)</f>
        <v>0.47</v>
      </c>
      <c r="J917" s="508" t="s">
        <v>84</v>
      </c>
    </row>
    <row r="918" spans="1:10" ht="21" customHeight="1">
      <c r="A918" s="507" t="s">
        <v>823</v>
      </c>
      <c r="B918" s="508" t="s">
        <v>826</v>
      </c>
      <c r="C918" s="508" t="s">
        <v>411</v>
      </c>
      <c r="D918" s="509">
        <f>AVERAGE($D$801,$D$802,$D$803,$D$804,$D$805,$D$806,$D$807,$D$808,$D$891,$D$892)</f>
        <v>0.01</v>
      </c>
      <c r="E918" s="509">
        <f>AVERAGE($E$817,$E$818,$E$819,$E$820,$E$821,$E$822,$E$823,$E$824,$E$895,$E$896)</f>
        <v>1E-3</v>
      </c>
      <c r="F918" s="509">
        <f>AVERAGE($F$833,$F$834,$F$835,$F$836,$F$837,$F$838,$F$839,$F$840,$F$899,$F$900)</f>
        <v>1E-3</v>
      </c>
      <c r="G918" s="509">
        <f>AVERAGE($G$849,$G$850,$G$851,$G$852,$G$853,$G$854,$G$855,$G$856,$G$903,$G$904)</f>
        <v>0.01</v>
      </c>
      <c r="H918" s="509">
        <f>AVERAGE($H$865,$H$866,$H$867,$H$868,$H$869,$H$870,$H$871,$H$872,$H$907,$H$908)</f>
        <v>8.0000000000000004E-4</v>
      </c>
      <c r="I918" s="509">
        <f>AVERAGE($I$881,$I$882,$I$883,$I$884,$I$885,$I$886,$I$887,$I$888,$I$911,$I$912)</f>
        <v>8.0000000000000002E-3</v>
      </c>
      <c r="J918" s="508" t="s">
        <v>84</v>
      </c>
    </row>
    <row r="919" spans="1:10" ht="21" customHeight="1">
      <c r="A919" s="507" t="s">
        <v>823</v>
      </c>
      <c r="B919" s="508" t="s">
        <v>827</v>
      </c>
      <c r="C919" s="508" t="s">
        <v>411</v>
      </c>
      <c r="D919" s="509">
        <f>(73.96+0.003*25+0.0006*298)*2.2046*0.138</f>
        <v>22.578420600240001</v>
      </c>
      <c r="E919" s="509">
        <f>(73.96+0.003*25+0.0006*298)*2.2046*0.138</f>
        <v>22.578420600240001</v>
      </c>
      <c r="F919" s="509">
        <f>(73.96+0.003*25+0.0006*298)*2.2046*0.138</f>
        <v>22.578420600240001</v>
      </c>
      <c r="G919" s="509">
        <f>(73.96+0.003*26+0.0006*298)*2.2046*0.138</f>
        <v>22.579333304640002</v>
      </c>
      <c r="H919" s="509">
        <f>(73.96+0.003*25+0.0006*298)*2.2046*0.138</f>
        <v>22.578420600240001</v>
      </c>
      <c r="I919" s="509">
        <f>(73.96+0.003*26+0.0006*298)*2.2046*0.138</f>
        <v>22.579333304640002</v>
      </c>
      <c r="J919" s="508" t="s">
        <v>84</v>
      </c>
    </row>
    <row r="920" spans="1:10" ht="21" customHeight="1">
      <c r="A920" s="507" t="s">
        <v>823</v>
      </c>
      <c r="B920" s="508" t="s">
        <v>564</v>
      </c>
      <c r="C920" s="508" t="s">
        <v>411</v>
      </c>
      <c r="D920" s="509">
        <f>(9.19*$D$917)+3.22</f>
        <v>7.1716999999999995</v>
      </c>
      <c r="E920" s="509">
        <f>(9.19*$E$917)+3.22</f>
        <v>7.4474</v>
      </c>
      <c r="F920" s="509">
        <f>(9.19*$F$917)+3.22</f>
        <v>7.3554999999999993</v>
      </c>
      <c r="G920" s="509">
        <f>(9.19*$G$917)+3.22</f>
        <v>7.4474</v>
      </c>
      <c r="H920" s="509">
        <f>(9.19*$H$917)+3.22</f>
        <v>7.4474</v>
      </c>
      <c r="I920" s="509">
        <f>(9.19*$I$917)+3.22</f>
        <v>7.539299999999999</v>
      </c>
      <c r="J920" s="508"/>
    </row>
    <row r="921" spans="1:10" ht="21" customHeight="1">
      <c r="A921" s="507" t="s">
        <v>823</v>
      </c>
      <c r="B921" s="508" t="s">
        <v>565</v>
      </c>
      <c r="C921" s="508" t="s">
        <v>411</v>
      </c>
      <c r="D921" s="509">
        <f>$D$914</f>
        <v>11653643</v>
      </c>
      <c r="E921" s="509">
        <f>$E$914</f>
        <v>8524821.9000000004</v>
      </c>
      <c r="F921" s="509">
        <f>$F$914</f>
        <v>9754754.9399999995</v>
      </c>
      <c r="G921" s="509">
        <f>$G$914</f>
        <v>8788477</v>
      </c>
      <c r="H921" s="509">
        <f>$H$914</f>
        <v>11219708.639999999</v>
      </c>
      <c r="I921" s="509">
        <f>$I$914</f>
        <v>11128871.039999999</v>
      </c>
      <c r="J921" s="508"/>
    </row>
    <row r="922" spans="1:10" ht="21" customHeight="1">
      <c r="A922" s="507" t="s">
        <v>823</v>
      </c>
      <c r="B922" s="508" t="s">
        <v>828</v>
      </c>
      <c r="C922" s="508" t="s">
        <v>397</v>
      </c>
      <c r="D922" s="509">
        <v>1.2E-2</v>
      </c>
      <c r="E922" s="509">
        <v>1.2E-2</v>
      </c>
      <c r="F922" s="509">
        <v>1.2E-2</v>
      </c>
      <c r="G922" s="509">
        <v>1.2E-2</v>
      </c>
      <c r="H922" s="509">
        <v>1.2E-2</v>
      </c>
      <c r="I922" s="509">
        <f>'Cálculos AG'!K18</f>
        <v>1.2E-2</v>
      </c>
      <c r="J922" s="508"/>
    </row>
    <row r="923" spans="1:10" ht="21" customHeight="1">
      <c r="A923" s="507" t="s">
        <v>823</v>
      </c>
      <c r="B923" s="508" t="s">
        <v>829</v>
      </c>
      <c r="C923" s="508" t="s">
        <v>411</v>
      </c>
      <c r="D923" s="509">
        <f>$D$915</f>
        <v>4126785</v>
      </c>
      <c r="E923" s="509">
        <f>$E$915</f>
        <v>3476405</v>
      </c>
      <c r="F923" s="509">
        <f>$F$915</f>
        <v>3189609</v>
      </c>
      <c r="G923" s="509">
        <f>$G$915</f>
        <v>4272437</v>
      </c>
      <c r="H923" s="509">
        <f>$H$915</f>
        <v>4375752</v>
      </c>
      <c r="I923" s="509">
        <f>$I$915</f>
        <v>4752539</v>
      </c>
      <c r="J923" s="508"/>
    </row>
    <row r="924" spans="1:10" ht="21" customHeight="1">
      <c r="A924" s="507" t="s">
        <v>823</v>
      </c>
      <c r="B924" s="508" t="s">
        <v>830</v>
      </c>
      <c r="C924" s="508" t="s">
        <v>397</v>
      </c>
      <c r="D924" s="509">
        <v>0.13800000000000001</v>
      </c>
      <c r="E924" s="509">
        <v>0.13800000000000001</v>
      </c>
      <c r="F924" s="509">
        <v>0.13800000000000001</v>
      </c>
      <c r="G924" s="509">
        <v>0.13800000000000001</v>
      </c>
      <c r="H924" s="509">
        <v>0.13800000000000001</v>
      </c>
      <c r="I924" s="509">
        <f>'Cálculos AG'!O18</f>
        <v>0.13800000000000001</v>
      </c>
      <c r="J924" s="508"/>
    </row>
    <row r="925" spans="1:10" ht="21" customHeight="1">
      <c r="A925" s="507" t="s">
        <v>823</v>
      </c>
      <c r="B925" s="508" t="s">
        <v>566</v>
      </c>
      <c r="C925" s="508" t="s">
        <v>397</v>
      </c>
      <c r="D925" s="509">
        <v>1000</v>
      </c>
      <c r="E925" s="509">
        <v>1000</v>
      </c>
      <c r="F925" s="509">
        <v>1000</v>
      </c>
      <c r="G925" s="509">
        <v>1000</v>
      </c>
      <c r="H925" s="509">
        <v>1000</v>
      </c>
      <c r="I925" s="509">
        <f>'Cálculos AG'!B19</f>
        <v>1000</v>
      </c>
      <c r="J925" s="508"/>
    </row>
    <row r="926" spans="1:10" ht="21" customHeight="1">
      <c r="A926" s="507" t="s">
        <v>823</v>
      </c>
      <c r="B926" s="508" t="s">
        <v>567</v>
      </c>
      <c r="C926" s="508" t="s">
        <v>397</v>
      </c>
      <c r="D926" s="509">
        <v>2000</v>
      </c>
      <c r="E926" s="509">
        <v>2000</v>
      </c>
      <c r="F926" s="509">
        <v>2000</v>
      </c>
      <c r="G926" s="509">
        <v>2000</v>
      </c>
      <c r="H926" s="509">
        <v>2000</v>
      </c>
      <c r="I926" s="509">
        <f>'Cálculos AG'!F19</f>
        <v>2000</v>
      </c>
      <c r="J926" s="508"/>
    </row>
    <row r="927" spans="1:10" ht="21" customHeight="1">
      <c r="A927" s="507" t="s">
        <v>823</v>
      </c>
      <c r="B927" s="508" t="s">
        <v>831</v>
      </c>
      <c r="C927" s="508" t="s">
        <v>397</v>
      </c>
      <c r="D927" s="509">
        <v>2000</v>
      </c>
      <c r="E927" s="509">
        <v>2000</v>
      </c>
      <c r="F927" s="509">
        <v>2000</v>
      </c>
      <c r="G927" s="509">
        <v>2000</v>
      </c>
      <c r="H927" s="509">
        <v>2000</v>
      </c>
      <c r="I927" s="509">
        <f>'Cálculos AG'!Q19</f>
        <v>2000</v>
      </c>
      <c r="J927" s="508"/>
    </row>
    <row r="928" spans="1:10" ht="21" customHeight="1">
      <c r="A928" s="507" t="s">
        <v>823</v>
      </c>
      <c r="B928" s="508" t="s">
        <v>568</v>
      </c>
      <c r="C928" s="508" t="s">
        <v>411</v>
      </c>
      <c r="D928" s="509">
        <f>(($D$920/$D$925)*$D$921)/$D$926</f>
        <v>41.788215751549998</v>
      </c>
      <c r="E928" s="509">
        <f>(($E$920/$E$925)*$E$921)/$E$926</f>
        <v>31.743879309030003</v>
      </c>
      <c r="F928" s="509">
        <f>(($F$920/$F$925)*$F$921)/$F$926</f>
        <v>35.875549980584999</v>
      </c>
      <c r="G928" s="509">
        <f>(($G$920/$G$925)*$G$921)/$G$926</f>
        <v>32.725651804900004</v>
      </c>
      <c r="H928" s="509">
        <f>(($H$920/$H$925)*$H$921)/$H$926</f>
        <v>41.778829062767997</v>
      </c>
      <c r="I928" s="509">
        <f>(($I$920/$I$925)*$I$921)/$I$926</f>
        <v>41.951948715935991</v>
      </c>
      <c r="J928" s="508"/>
    </row>
    <row r="929" spans="1:10" ht="21" customHeight="1">
      <c r="A929" s="507" t="s">
        <v>823</v>
      </c>
      <c r="B929" s="508" t="s">
        <v>832</v>
      </c>
      <c r="C929" s="508" t="s">
        <v>411</v>
      </c>
      <c r="D929" s="509">
        <f>(($D$922*$D$923*$D$924)/$D$927)</f>
        <v>3.41697798</v>
      </c>
      <c r="E929" s="509">
        <f>(($E$922*$E$923*$E$924)/$E$927)</f>
        <v>2.8784633400000001</v>
      </c>
      <c r="F929" s="509">
        <f>(($F$922*$F$923*$F$924)/$F$927)</f>
        <v>2.6409962519999999</v>
      </c>
      <c r="G929" s="509">
        <f>(($G$922*$G$923*$G$924)/$G$927)</f>
        <v>3.5375778360000005</v>
      </c>
      <c r="H929" s="509">
        <f>(($H$922*$H$923*$H$924)/$H$927)</f>
        <v>3.6231226560000001</v>
      </c>
      <c r="I929" s="509">
        <f>(($I$922*$I$923*$I$924)/$I$927)</f>
        <v>3.9351022920000003</v>
      </c>
      <c r="J929" s="508"/>
    </row>
    <row r="930" spans="1:10" ht="21" customHeight="1">
      <c r="A930" s="507" t="s">
        <v>823</v>
      </c>
      <c r="B930" s="508" t="s">
        <v>509</v>
      </c>
      <c r="C930" s="508" t="s">
        <v>411</v>
      </c>
      <c r="D930" s="509">
        <f>157*$D$917</f>
        <v>67.510000000000005</v>
      </c>
      <c r="E930" s="509">
        <f>157*$E$917</f>
        <v>72.22</v>
      </c>
      <c r="F930" s="509">
        <f>157*$F$917</f>
        <v>70.650000000000006</v>
      </c>
      <c r="G930" s="509">
        <f>157*$G$917</f>
        <v>72.22</v>
      </c>
      <c r="H930" s="509">
        <f>157*$H$917</f>
        <v>72.22</v>
      </c>
      <c r="I930" s="509">
        <f>157*$I$917</f>
        <v>73.789999999999992</v>
      </c>
      <c r="J930" s="508"/>
    </row>
    <row r="931" spans="1:10" ht="21" customHeight="1">
      <c r="A931" s="507" t="s">
        <v>823</v>
      </c>
      <c r="B931" s="508" t="s">
        <v>511</v>
      </c>
      <c r="C931" s="508" t="s">
        <v>411</v>
      </c>
      <c r="D931" s="509">
        <f>$D$914</f>
        <v>11653643</v>
      </c>
      <c r="E931" s="509">
        <f>$E$914</f>
        <v>8524821.9000000004</v>
      </c>
      <c r="F931" s="509">
        <f>$F$914</f>
        <v>9754754.9399999995</v>
      </c>
      <c r="G931" s="509">
        <f>$G$914</f>
        <v>8788477</v>
      </c>
      <c r="H931" s="509">
        <f>$H$914</f>
        <v>11219708.639999999</v>
      </c>
      <c r="I931" s="509">
        <f>$I$914</f>
        <v>11128871.039999999</v>
      </c>
      <c r="J931" s="508"/>
    </row>
    <row r="932" spans="1:10" ht="21" customHeight="1">
      <c r="A932" s="507" t="s">
        <v>823</v>
      </c>
      <c r="B932" s="508" t="s">
        <v>807</v>
      </c>
      <c r="C932" s="508" t="s">
        <v>411</v>
      </c>
      <c r="D932" s="509">
        <f>1.01*$D$918</f>
        <v>1.01E-2</v>
      </c>
      <c r="E932" s="509">
        <f>1.01*$E$918</f>
        <v>1.01E-3</v>
      </c>
      <c r="F932" s="509">
        <f>1.01*$F$918</f>
        <v>1.01E-3</v>
      </c>
      <c r="G932" s="509">
        <f>1.01*$G$918</f>
        <v>1.01E-2</v>
      </c>
      <c r="H932" s="509">
        <f>1.01*$H$918</f>
        <v>8.0800000000000002E-4</v>
      </c>
      <c r="I932" s="509">
        <f>1.01*$I$918</f>
        <v>8.0800000000000004E-3</v>
      </c>
      <c r="J932" s="508"/>
    </row>
    <row r="933" spans="1:10" ht="21" customHeight="1">
      <c r="A933" s="507" t="s">
        <v>823</v>
      </c>
      <c r="B933" s="508" t="s">
        <v>809</v>
      </c>
      <c r="C933" s="508" t="s">
        <v>411</v>
      </c>
      <c r="D933" s="509">
        <f>$D$915</f>
        <v>4126785</v>
      </c>
      <c r="E933" s="509">
        <f>$E$915</f>
        <v>3476405</v>
      </c>
      <c r="F933" s="509">
        <f>$F$915</f>
        <v>3189609</v>
      </c>
      <c r="G933" s="509">
        <f>$G$915</f>
        <v>4272437</v>
      </c>
      <c r="H933" s="509">
        <f>$H$915</f>
        <v>4375752</v>
      </c>
      <c r="I933" s="509">
        <f>$I$915</f>
        <v>4752539</v>
      </c>
      <c r="J933" s="508"/>
    </row>
    <row r="934" spans="1:10" ht="21" customHeight="1">
      <c r="A934" s="507" t="s">
        <v>823</v>
      </c>
      <c r="B934" s="508" t="s">
        <v>713</v>
      </c>
      <c r="C934" s="508" t="s">
        <v>397</v>
      </c>
      <c r="D934" s="509">
        <v>0.13800000000000001</v>
      </c>
      <c r="E934" s="509">
        <v>0.13800000000000001</v>
      </c>
      <c r="F934" s="509">
        <v>0.13800000000000001</v>
      </c>
      <c r="G934" s="509">
        <v>0.13800000000000001</v>
      </c>
      <c r="H934" s="509">
        <v>0.13800000000000001</v>
      </c>
      <c r="I934" s="509">
        <f>'Cálculos AG'!O28</f>
        <v>0.13800000000000001</v>
      </c>
      <c r="J934" s="508"/>
    </row>
    <row r="935" spans="1:10" ht="21" customHeight="1">
      <c r="A935" s="507" t="s">
        <v>823</v>
      </c>
      <c r="B935" s="508" t="s">
        <v>513</v>
      </c>
      <c r="C935" s="508" t="s">
        <v>397</v>
      </c>
      <c r="D935" s="509">
        <v>1000</v>
      </c>
      <c r="E935" s="509">
        <v>1000</v>
      </c>
      <c r="F935" s="509">
        <v>1000</v>
      </c>
      <c r="G935" s="509">
        <v>1000</v>
      </c>
      <c r="H935" s="509">
        <v>1000</v>
      </c>
      <c r="I935" s="509">
        <f>'Cálculos AG'!B29</f>
        <v>1000</v>
      </c>
      <c r="J935" s="508"/>
    </row>
    <row r="936" spans="1:10" ht="21" customHeight="1">
      <c r="A936" s="507" t="s">
        <v>823</v>
      </c>
      <c r="B936" s="508" t="s">
        <v>833</v>
      </c>
      <c r="C936" s="508" t="s">
        <v>397</v>
      </c>
      <c r="D936" s="509">
        <v>2000</v>
      </c>
      <c r="E936" s="509">
        <v>2000</v>
      </c>
      <c r="F936" s="509">
        <v>2000</v>
      </c>
      <c r="G936" s="509">
        <v>2000</v>
      </c>
      <c r="H936" s="509">
        <v>2000</v>
      </c>
      <c r="I936" s="509">
        <f>'Cálculos AG'!F29</f>
        <v>2000</v>
      </c>
      <c r="J936" s="508"/>
    </row>
    <row r="937" spans="1:10" ht="21" customHeight="1">
      <c r="A937" s="507" t="s">
        <v>823</v>
      </c>
      <c r="B937" s="508" t="s">
        <v>834</v>
      </c>
      <c r="C937" s="508" t="s">
        <v>397</v>
      </c>
      <c r="D937" s="509">
        <v>2000</v>
      </c>
      <c r="E937" s="509">
        <v>2000</v>
      </c>
      <c r="F937" s="509">
        <v>2000</v>
      </c>
      <c r="G937" s="509">
        <v>2000</v>
      </c>
      <c r="H937" s="509">
        <v>2000</v>
      </c>
      <c r="I937" s="509">
        <f>'Cálculos AG'!Q29</f>
        <v>2000</v>
      </c>
      <c r="J937" s="508"/>
    </row>
    <row r="938" spans="1:10" ht="21" customHeight="1">
      <c r="A938" s="507" t="s">
        <v>823</v>
      </c>
      <c r="B938" s="508" t="s">
        <v>609</v>
      </c>
      <c r="C938" s="508" t="s">
        <v>411</v>
      </c>
      <c r="D938" s="509">
        <f>(($D$930/$D$935)*$D$931)/$D$936</f>
        <v>393.36871946500003</v>
      </c>
      <c r="E938" s="509">
        <f>(($E$930/$E$935)*$E$931)/$E$936</f>
        <v>307.83131880899998</v>
      </c>
      <c r="F938" s="509">
        <f>(($F$930/$F$935)*$F$931)/$F$936</f>
        <v>344.58671825550005</v>
      </c>
      <c r="G938" s="509">
        <f>(($G$930/$G$935)*$G$931)/$G$936</f>
        <v>317.35190446999997</v>
      </c>
      <c r="H938" s="509">
        <f>(($H$930/$H$935)*$H$931)/$H$936</f>
        <v>405.14367899039991</v>
      </c>
      <c r="I938" s="509">
        <f>(($I$930/$I$935)*$I$931)/$I$936</f>
        <v>410.59969702079991</v>
      </c>
      <c r="J938" s="508"/>
    </row>
    <row r="939" spans="1:10" ht="21" customHeight="1">
      <c r="A939" s="507" t="s">
        <v>823</v>
      </c>
      <c r="B939" s="508" t="s">
        <v>835</v>
      </c>
      <c r="C939" s="508" t="s">
        <v>411</v>
      </c>
      <c r="D939" s="509">
        <f>(($D$932*$D$933*$D$934)/$D$937)</f>
        <v>2.8759564665000004</v>
      </c>
      <c r="E939" s="509">
        <f>(($E$932*$E$933*$E$934)/$E$937)</f>
        <v>0.24227066445000003</v>
      </c>
      <c r="F939" s="509">
        <f>(($F$932*$F$933*$F$934)/$F$937)</f>
        <v>0.22228385121000002</v>
      </c>
      <c r="G939" s="509">
        <f>(($G$932*$G$933*$G$934)/$G$937)</f>
        <v>2.9774613453000001</v>
      </c>
      <c r="H939" s="509">
        <f>(($H$932*$H$933*$H$934)/$H$937)</f>
        <v>0.24395692550400003</v>
      </c>
      <c r="I939" s="509">
        <f>(($I$932*$I$933*$I$934)/$I$937)</f>
        <v>2.6496355432800005</v>
      </c>
      <c r="J939" s="508"/>
    </row>
    <row r="940" spans="1:10" ht="21" customHeight="1">
      <c r="A940" s="507" t="s">
        <v>823</v>
      </c>
      <c r="B940" s="508" t="s">
        <v>616</v>
      </c>
      <c r="C940" s="508" t="s">
        <v>397</v>
      </c>
      <c r="D940" s="509">
        <v>0.33</v>
      </c>
      <c r="E940" s="509">
        <v>0.33</v>
      </c>
      <c r="F940" s="509">
        <v>0.33</v>
      </c>
      <c r="G940" s="509">
        <v>0.33</v>
      </c>
      <c r="H940" s="509">
        <v>0.33</v>
      </c>
      <c r="I940" s="509">
        <f>'Cálculos AG'!B38</f>
        <v>0.33</v>
      </c>
      <c r="J940" s="508"/>
    </row>
    <row r="941" spans="1:10" ht="21" customHeight="1">
      <c r="A941" s="507" t="s">
        <v>823</v>
      </c>
      <c r="B941" s="508" t="s">
        <v>836</v>
      </c>
      <c r="C941" s="508" t="s">
        <v>411</v>
      </c>
      <c r="D941" s="509">
        <f>$D$914</f>
        <v>11653643</v>
      </c>
      <c r="E941" s="509">
        <f>$E$914</f>
        <v>8524821.9000000004</v>
      </c>
      <c r="F941" s="509">
        <f>$F$914</f>
        <v>9754754.9399999995</v>
      </c>
      <c r="G941" s="509">
        <f>$G$914</f>
        <v>8788477</v>
      </c>
      <c r="H941" s="509">
        <f>$H$914</f>
        <v>11219708.639999999</v>
      </c>
      <c r="I941" s="509">
        <f>$I$914</f>
        <v>11128871.039999999</v>
      </c>
      <c r="J941" s="508"/>
    </row>
    <row r="942" spans="1:10" ht="21" customHeight="1">
      <c r="A942" s="507" t="s">
        <v>823</v>
      </c>
      <c r="B942" s="508" t="s">
        <v>837</v>
      </c>
      <c r="C942" s="508" t="s">
        <v>397</v>
      </c>
      <c r="D942" s="509">
        <v>0.88</v>
      </c>
      <c r="E942" s="509">
        <v>0.88</v>
      </c>
      <c r="F942" s="509">
        <v>0.88</v>
      </c>
      <c r="G942" s="509">
        <v>0.88</v>
      </c>
      <c r="H942" s="509">
        <v>0.88</v>
      </c>
      <c r="I942" s="509">
        <f>'Cálculos AG'!K38</f>
        <v>0.88</v>
      </c>
      <c r="J942" s="508"/>
    </row>
    <row r="943" spans="1:10" ht="21" customHeight="1">
      <c r="A943" s="507" t="s">
        <v>823</v>
      </c>
      <c r="B943" s="508" t="s">
        <v>619</v>
      </c>
      <c r="C943" s="508" t="s">
        <v>411</v>
      </c>
      <c r="D943" s="509">
        <f>$D$915</f>
        <v>4126785</v>
      </c>
      <c r="E943" s="509">
        <f>$E$915</f>
        <v>3476405</v>
      </c>
      <c r="F943" s="509">
        <f>$F$915</f>
        <v>3189609</v>
      </c>
      <c r="G943" s="509">
        <f>$G$915</f>
        <v>4272437</v>
      </c>
      <c r="H943" s="509">
        <f>$H$915</f>
        <v>4375752</v>
      </c>
      <c r="I943" s="509">
        <f>$I$915</f>
        <v>4752539</v>
      </c>
      <c r="J943" s="508"/>
    </row>
    <row r="944" spans="1:10" ht="21" customHeight="1">
      <c r="A944" s="507" t="s">
        <v>823</v>
      </c>
      <c r="B944" s="508" t="s">
        <v>620</v>
      </c>
      <c r="C944" s="508" t="s">
        <v>397</v>
      </c>
      <c r="D944" s="509">
        <v>0.13800000000000001</v>
      </c>
      <c r="E944" s="509">
        <v>0.13800000000000001</v>
      </c>
      <c r="F944" s="509">
        <v>0.13800000000000001</v>
      </c>
      <c r="G944" s="509">
        <v>0.13800000000000001</v>
      </c>
      <c r="H944" s="509">
        <v>0.13800000000000001</v>
      </c>
      <c r="I944" s="509">
        <f>'Cálculos AG'!O38</f>
        <v>0.13800000000000001</v>
      </c>
      <c r="J944" s="508"/>
    </row>
    <row r="945" spans="1:10" ht="21" customHeight="1">
      <c r="A945" s="507" t="s">
        <v>823</v>
      </c>
      <c r="B945" s="508" t="s">
        <v>838</v>
      </c>
      <c r="C945" s="508" t="s">
        <v>397</v>
      </c>
      <c r="D945" s="509">
        <v>2000</v>
      </c>
      <c r="E945" s="509">
        <v>2000</v>
      </c>
      <c r="F945" s="509">
        <v>2000</v>
      </c>
      <c r="G945" s="509">
        <v>2000</v>
      </c>
      <c r="H945" s="509">
        <v>2000</v>
      </c>
      <c r="I945" s="509">
        <f>'Cálculos AG'!Q39</f>
        <v>2000</v>
      </c>
      <c r="J945" s="508"/>
    </row>
    <row r="946" spans="1:10" ht="21" customHeight="1">
      <c r="A946" s="507" t="s">
        <v>823</v>
      </c>
      <c r="B946" s="508" t="s">
        <v>517</v>
      </c>
      <c r="C946" s="508" t="s">
        <v>411</v>
      </c>
      <c r="D946" s="509">
        <f>$D$940*$D$941*0.15/2000</f>
        <v>288.42766425000002</v>
      </c>
      <c r="E946" s="509">
        <f>$E$940*$E$941*0.15/2000</f>
        <v>210.98934202500001</v>
      </c>
      <c r="F946" s="509">
        <f>$F$940*$F$941*0.15/2000</f>
        <v>241.43018476499998</v>
      </c>
      <c r="G946" s="509">
        <f>$G$940*$G$941*0.15/2000</f>
        <v>217.51480574999999</v>
      </c>
      <c r="H946" s="509">
        <f>$H$940*$H$941*0.15/2000</f>
        <v>277.68778884</v>
      </c>
      <c r="I946" s="509">
        <f>$I$940*$I$941*0.15/2000</f>
        <v>275.43955824</v>
      </c>
      <c r="J946" s="508"/>
    </row>
    <row r="947" spans="1:10" ht="21" customHeight="1">
      <c r="A947" s="507" t="s">
        <v>823</v>
      </c>
      <c r="B947" s="508" t="s">
        <v>839</v>
      </c>
      <c r="C947" s="508" t="s">
        <v>411</v>
      </c>
      <c r="D947" s="509">
        <f>(($D$942*$D$943*$D$944)/$D$945)</f>
        <v>250.57838520000001</v>
      </c>
      <c r="E947" s="509">
        <f>(($E$942*$E$943*$E$944)/$E$945)</f>
        <v>211.08731160000002</v>
      </c>
      <c r="F947" s="509">
        <f>(($F$942*$F$943*$F$944)/$F$945)</f>
        <v>193.67305848000001</v>
      </c>
      <c r="G947" s="509">
        <f>(($G$942*$G$943*$G$944)/$G$945)</f>
        <v>259.42237464000004</v>
      </c>
      <c r="H947" s="509">
        <f>(($H$942*$H$943*$H$944)/$H$945)</f>
        <v>265.69566144000004</v>
      </c>
      <c r="I947" s="509">
        <f>(($I$942*$I$943*$I$944)/$I$945)</f>
        <v>288.57416808000005</v>
      </c>
      <c r="J947" s="508"/>
    </row>
    <row r="948" spans="1:10" ht="21" customHeight="1">
      <c r="A948" s="507" t="s">
        <v>823</v>
      </c>
      <c r="B948" s="508" t="s">
        <v>725</v>
      </c>
      <c r="C948" s="508" t="s">
        <v>397</v>
      </c>
      <c r="D948" s="509">
        <v>0.76</v>
      </c>
      <c r="E948" s="509">
        <v>0.76</v>
      </c>
      <c r="F948" s="509">
        <v>0.76</v>
      </c>
      <c r="G948" s="509">
        <v>0.76</v>
      </c>
      <c r="H948" s="509">
        <v>0.76</v>
      </c>
      <c r="I948" s="509">
        <f>'Cálculos AG'!B48</f>
        <v>0.76</v>
      </c>
      <c r="J948" s="508"/>
    </row>
    <row r="949" spans="1:10" ht="21" customHeight="1">
      <c r="A949" s="507" t="s">
        <v>823</v>
      </c>
      <c r="B949" s="508" t="s">
        <v>726</v>
      </c>
      <c r="C949" s="508" t="s">
        <v>411</v>
      </c>
      <c r="D949" s="509">
        <f>$D$914</f>
        <v>11653643</v>
      </c>
      <c r="E949" s="509">
        <f>$E$914</f>
        <v>8524821.9000000004</v>
      </c>
      <c r="F949" s="509">
        <f>$F$914</f>
        <v>9754754.9399999995</v>
      </c>
      <c r="G949" s="509">
        <f>$G$914</f>
        <v>8788477</v>
      </c>
      <c r="H949" s="509">
        <f>$H$914</f>
        <v>11219708.639999999</v>
      </c>
      <c r="I949" s="509">
        <f>$I$914</f>
        <v>11128871.039999999</v>
      </c>
      <c r="J949" s="508"/>
    </row>
    <row r="950" spans="1:10" ht="21" customHeight="1">
      <c r="A950" s="507" t="s">
        <v>823</v>
      </c>
      <c r="B950" s="508" t="s">
        <v>840</v>
      </c>
      <c r="C950" s="508" t="s">
        <v>397</v>
      </c>
      <c r="D950" s="509">
        <v>4.0999999999999999E-4</v>
      </c>
      <c r="E950" s="509">
        <v>4.0999999999999999E-4</v>
      </c>
      <c r="F950" s="509">
        <v>4.0999999999999999E-4</v>
      </c>
      <c r="G950" s="509">
        <v>4.0999999999999999E-4</v>
      </c>
      <c r="H950" s="509">
        <v>4.0999999999999999E-4</v>
      </c>
      <c r="I950" s="509">
        <f>'Cálculos AG'!K48</f>
        <v>4.0999999999999999E-4</v>
      </c>
      <c r="J950" s="508"/>
    </row>
    <row r="951" spans="1:10" ht="21" customHeight="1">
      <c r="A951" s="507" t="s">
        <v>823</v>
      </c>
      <c r="B951" s="508" t="s">
        <v>841</v>
      </c>
      <c r="C951" s="508" t="s">
        <v>411</v>
      </c>
      <c r="D951" s="509">
        <f>$D$915</f>
        <v>4126785</v>
      </c>
      <c r="E951" s="509">
        <f>$E$915</f>
        <v>3476405</v>
      </c>
      <c r="F951" s="509">
        <f>$F$915</f>
        <v>3189609</v>
      </c>
      <c r="G951" s="509">
        <f>$G$915</f>
        <v>4272437</v>
      </c>
      <c r="H951" s="509">
        <f>$H$915</f>
        <v>4375752</v>
      </c>
      <c r="I951" s="509">
        <f>$I$915</f>
        <v>4752539</v>
      </c>
      <c r="J951" s="508"/>
    </row>
    <row r="952" spans="1:10" ht="21" customHeight="1">
      <c r="A952" s="507" t="s">
        <v>823</v>
      </c>
      <c r="B952" s="508" t="s">
        <v>842</v>
      </c>
      <c r="C952" s="508" t="s">
        <v>397</v>
      </c>
      <c r="D952" s="509">
        <v>0.13800000000000001</v>
      </c>
      <c r="E952" s="509">
        <v>0.13800000000000001</v>
      </c>
      <c r="F952" s="509">
        <v>0.13800000000000001</v>
      </c>
      <c r="G952" s="509">
        <v>0.13800000000000001</v>
      </c>
      <c r="H952" s="509">
        <v>0.13800000000000001</v>
      </c>
      <c r="I952" s="509">
        <f>'Cálculos AG'!O48</f>
        <v>0.13800000000000001</v>
      </c>
      <c r="J952" s="508"/>
    </row>
    <row r="953" spans="1:10" ht="21" customHeight="1">
      <c r="A953" s="507" t="s">
        <v>823</v>
      </c>
      <c r="B953" s="508" t="s">
        <v>727</v>
      </c>
      <c r="C953" s="508" t="s">
        <v>397</v>
      </c>
      <c r="D953" s="509">
        <v>1000</v>
      </c>
      <c r="E953" s="509">
        <v>1000</v>
      </c>
      <c r="F953" s="509">
        <v>1000</v>
      </c>
      <c r="G953" s="509">
        <v>1000</v>
      </c>
      <c r="H953" s="509">
        <v>1000</v>
      </c>
      <c r="I953" s="509">
        <f>'Cálculos AG'!B49</f>
        <v>1000</v>
      </c>
      <c r="J953" s="508"/>
    </row>
    <row r="954" spans="1:10" ht="21" customHeight="1">
      <c r="A954" s="507" t="s">
        <v>823</v>
      </c>
      <c r="B954" s="508" t="s">
        <v>728</v>
      </c>
      <c r="C954" s="508" t="s">
        <v>397</v>
      </c>
      <c r="D954" s="509">
        <v>2000</v>
      </c>
      <c r="E954" s="509">
        <v>2000</v>
      </c>
      <c r="F954" s="509">
        <v>2000</v>
      </c>
      <c r="G954" s="509">
        <v>2000</v>
      </c>
      <c r="H954" s="509">
        <v>2000</v>
      </c>
      <c r="I954" s="509">
        <f>'Cálculos AG'!F49</f>
        <v>2000</v>
      </c>
      <c r="J954" s="508"/>
    </row>
    <row r="955" spans="1:10" ht="21" customHeight="1">
      <c r="A955" s="507" t="s">
        <v>823</v>
      </c>
      <c r="B955" s="508" t="s">
        <v>843</v>
      </c>
      <c r="C955" s="508" t="s">
        <v>397</v>
      </c>
      <c r="D955" s="509">
        <v>2000</v>
      </c>
      <c r="E955" s="509">
        <v>2000</v>
      </c>
      <c r="F955" s="509">
        <v>2000</v>
      </c>
      <c r="G955" s="509">
        <v>2000</v>
      </c>
      <c r="H955" s="509">
        <v>2000</v>
      </c>
      <c r="I955" s="509">
        <f>'Cálculos AG'!Q49</f>
        <v>2000</v>
      </c>
      <c r="J955" s="508"/>
    </row>
    <row r="956" spans="1:10" ht="21" customHeight="1">
      <c r="A956" s="507" t="s">
        <v>823</v>
      </c>
      <c r="B956" s="508" t="s">
        <v>578</v>
      </c>
      <c r="C956" s="508" t="s">
        <v>411</v>
      </c>
      <c r="D956" s="509">
        <f>(($D$948/$D$953)*$D$949)/$D$954</f>
        <v>4.4283843400000009</v>
      </c>
      <c r="E956" s="509">
        <f>(($E$948/$E$953)*$E$949)/$E$954</f>
        <v>3.2394323220000003</v>
      </c>
      <c r="F956" s="509">
        <f>(($F$948/$F$953)*$F$949)/$F$954</f>
        <v>3.7068068772</v>
      </c>
      <c r="G956" s="509">
        <f>(($G$948/$G$953)*$G$949)/$G$954</f>
        <v>3.3396212600000004</v>
      </c>
      <c r="H956" s="509">
        <f>(($H$948/$H$953)*$H$949)/$H$954</f>
        <v>4.2634892831999993</v>
      </c>
      <c r="I956" s="509">
        <f>(($I$948/$I$953)*$I$949)/$I$954</f>
        <v>4.2289709952000001</v>
      </c>
      <c r="J956" s="508"/>
    </row>
    <row r="957" spans="1:10" ht="21" customHeight="1">
      <c r="A957" s="507" t="s">
        <v>823</v>
      </c>
      <c r="B957" s="508" t="s">
        <v>844</v>
      </c>
      <c r="C957" s="508" t="s">
        <v>411</v>
      </c>
      <c r="D957" s="509">
        <f>(($D$950*$D$951*$D$952)/$D$955)</f>
        <v>0.11674674765000001</v>
      </c>
      <c r="E957" s="509">
        <f>(($E$950*$E$951*$E$952)/$E$955)</f>
        <v>9.8347497450000002E-2</v>
      </c>
      <c r="F957" s="509">
        <f>(($F$950*$F$951*$F$952)/$F$955)</f>
        <v>9.0234038609999997E-2</v>
      </c>
      <c r="G957" s="509">
        <f>(($G$950*$G$951*$G$952)/$G$955)</f>
        <v>0.12086724273</v>
      </c>
      <c r="H957" s="509">
        <f>(($H$950*$H$951*$H$952)/$H$955)</f>
        <v>0.12379002407999999</v>
      </c>
      <c r="I957" s="509">
        <f>(($I$950*$I$951*$I$952)/$I$955)</f>
        <v>0.13444932831</v>
      </c>
      <c r="J957" s="508"/>
    </row>
    <row r="958" spans="1:10" ht="21" customHeight="1">
      <c r="A958" s="507" t="s">
        <v>823</v>
      </c>
      <c r="B958" s="508" t="s">
        <v>731</v>
      </c>
      <c r="C958" s="508" t="s">
        <v>397</v>
      </c>
      <c r="D958" s="509">
        <v>5</v>
      </c>
      <c r="E958" s="509">
        <v>5</v>
      </c>
      <c r="F958" s="509">
        <v>5</v>
      </c>
      <c r="G958" s="509">
        <v>5</v>
      </c>
      <c r="H958" s="509">
        <v>5</v>
      </c>
      <c r="I958" s="509">
        <f>'Cálculos AG'!B58</f>
        <v>5</v>
      </c>
      <c r="J958" s="508"/>
    </row>
    <row r="959" spans="1:10" ht="21" customHeight="1">
      <c r="A959" s="507" t="s">
        <v>823</v>
      </c>
      <c r="B959" s="508" t="s">
        <v>845</v>
      </c>
      <c r="C959" s="508" t="s">
        <v>411</v>
      </c>
      <c r="D959" s="509">
        <f>$D$914</f>
        <v>11653643</v>
      </c>
      <c r="E959" s="509">
        <f>$E$914</f>
        <v>8524821.9000000004</v>
      </c>
      <c r="F959" s="509">
        <f>$F$914</f>
        <v>9754754.9399999995</v>
      </c>
      <c r="G959" s="509">
        <f>$G$914</f>
        <v>8788477</v>
      </c>
      <c r="H959" s="509">
        <f>$H$914</f>
        <v>11219708.639999999</v>
      </c>
      <c r="I959" s="509">
        <f>$I$914</f>
        <v>11128871.039999999</v>
      </c>
      <c r="J959" s="508"/>
    </row>
    <row r="960" spans="1:10" ht="21" customHeight="1">
      <c r="A960" s="507" t="s">
        <v>823</v>
      </c>
      <c r="B960" s="508" t="s">
        <v>846</v>
      </c>
      <c r="C960" s="508" t="s">
        <v>397</v>
      </c>
      <c r="D960" s="509">
        <v>3.3E-3</v>
      </c>
      <c r="E960" s="509">
        <v>3.3E-3</v>
      </c>
      <c r="F960" s="509">
        <v>3.3E-3</v>
      </c>
      <c r="G960" s="509">
        <v>3.3E-3</v>
      </c>
      <c r="H960" s="509">
        <v>3.3E-3</v>
      </c>
      <c r="I960" s="509">
        <f>'Cálculos AG'!K58</f>
        <v>3.3E-3</v>
      </c>
      <c r="J960" s="508"/>
    </row>
    <row r="961" spans="1:10" ht="21" customHeight="1">
      <c r="A961" s="507" t="s">
        <v>823</v>
      </c>
      <c r="B961" s="508" t="s">
        <v>847</v>
      </c>
      <c r="C961" s="508" t="s">
        <v>411</v>
      </c>
      <c r="D961" s="509">
        <f>$D$915</f>
        <v>4126785</v>
      </c>
      <c r="E961" s="509">
        <f>$E$915</f>
        <v>3476405</v>
      </c>
      <c r="F961" s="509">
        <f>$F$915</f>
        <v>3189609</v>
      </c>
      <c r="G961" s="509">
        <f>$G$915</f>
        <v>4272437</v>
      </c>
      <c r="H961" s="509">
        <f>$H$915</f>
        <v>4375752</v>
      </c>
      <c r="I961" s="509">
        <f>$I$915</f>
        <v>4752539</v>
      </c>
      <c r="J961" s="508"/>
    </row>
    <row r="962" spans="1:10" ht="21" customHeight="1">
      <c r="A962" s="507" t="s">
        <v>823</v>
      </c>
      <c r="B962" s="508" t="s">
        <v>848</v>
      </c>
      <c r="C962" s="508" t="s">
        <v>397</v>
      </c>
      <c r="D962" s="509">
        <v>0.13800000000000001</v>
      </c>
      <c r="E962" s="509">
        <v>0.13800000000000001</v>
      </c>
      <c r="F962" s="509">
        <v>0.13800000000000001</v>
      </c>
      <c r="G962" s="509">
        <v>0.13800000000000001</v>
      </c>
      <c r="H962" s="509">
        <v>0.13800000000000001</v>
      </c>
      <c r="I962" s="509">
        <f>'Cálculos AG'!O58</f>
        <v>0.13800000000000001</v>
      </c>
      <c r="J962" s="508"/>
    </row>
    <row r="963" spans="1:10" ht="21" customHeight="1">
      <c r="A963" s="507" t="s">
        <v>823</v>
      </c>
      <c r="B963" s="508" t="s">
        <v>641</v>
      </c>
      <c r="C963" s="508" t="s">
        <v>397</v>
      </c>
      <c r="D963" s="509">
        <v>1000</v>
      </c>
      <c r="E963" s="509">
        <v>1000</v>
      </c>
      <c r="F963" s="509">
        <v>1000</v>
      </c>
      <c r="G963" s="509">
        <v>1000</v>
      </c>
      <c r="H963" s="509">
        <v>1000</v>
      </c>
      <c r="I963" s="509">
        <f>'Cálculos AG'!B59</f>
        <v>1000</v>
      </c>
      <c r="J963" s="508"/>
    </row>
    <row r="964" spans="1:10" ht="21" customHeight="1">
      <c r="A964" s="507" t="s">
        <v>823</v>
      </c>
      <c r="B964" s="508" t="s">
        <v>849</v>
      </c>
      <c r="C964" s="508" t="s">
        <v>397</v>
      </c>
      <c r="D964" s="509">
        <v>2000</v>
      </c>
      <c r="E964" s="509">
        <v>2000</v>
      </c>
      <c r="F964" s="509">
        <v>2000</v>
      </c>
      <c r="G964" s="509">
        <v>2000</v>
      </c>
      <c r="H964" s="509">
        <v>2000</v>
      </c>
      <c r="I964" s="509">
        <f>'Cálculos AG'!F59</f>
        <v>2000</v>
      </c>
      <c r="J964" s="508"/>
    </row>
    <row r="965" spans="1:10" ht="21" customHeight="1">
      <c r="A965" s="507" t="s">
        <v>823</v>
      </c>
      <c r="B965" s="508" t="s">
        <v>850</v>
      </c>
      <c r="C965" s="508" t="s">
        <v>397</v>
      </c>
      <c r="D965" s="509">
        <v>2000</v>
      </c>
      <c r="E965" s="509">
        <v>2000</v>
      </c>
      <c r="F965" s="509">
        <v>2000</v>
      </c>
      <c r="G965" s="509">
        <v>2000</v>
      </c>
      <c r="H965" s="509">
        <v>2000</v>
      </c>
      <c r="I965" s="509">
        <f>'Cálculos AG'!Q59</f>
        <v>2000</v>
      </c>
      <c r="J965" s="508"/>
    </row>
    <row r="966" spans="1:10" ht="21" customHeight="1">
      <c r="A966" s="507" t="s">
        <v>823</v>
      </c>
      <c r="B966" s="508" t="s">
        <v>581</v>
      </c>
      <c r="C966" s="508" t="s">
        <v>411</v>
      </c>
      <c r="D966" s="509">
        <f>(($D$958/$D$963)*$D$959)/$D$964</f>
        <v>29.134107500000002</v>
      </c>
      <c r="E966" s="509">
        <f>(($E$958/$E$963)*$E$959)/$E$964</f>
        <v>21.312054750000001</v>
      </c>
      <c r="F966" s="509">
        <f>(($F$958/$F$963)*$F$959)/$F$964</f>
        <v>24.386887350000002</v>
      </c>
      <c r="G966" s="509">
        <f>(($G$958/$G$963)*$G$959)/$G$964</f>
        <v>21.971192500000001</v>
      </c>
      <c r="H966" s="509">
        <f>(($H$958/$H$963)*$H$959)/$H$964</f>
        <v>28.049271599999997</v>
      </c>
      <c r="I966" s="509">
        <f>(($I$958/$I$963)*$I$959)/$I$964</f>
        <v>27.8221776</v>
      </c>
      <c r="J966" s="508"/>
    </row>
    <row r="967" spans="1:10" ht="21" customHeight="1">
      <c r="A967" s="507" t="s">
        <v>823</v>
      </c>
      <c r="B967" s="508" t="s">
        <v>851</v>
      </c>
      <c r="C967" s="508" t="s">
        <v>411</v>
      </c>
      <c r="D967" s="509">
        <f>(($D$960*$D$961*$D$962)/$D$965)</f>
        <v>0.93966894450000005</v>
      </c>
      <c r="E967" s="509">
        <f>(($E$960*$E$961*$E$962)/$E$965)</f>
        <v>0.79157741850000019</v>
      </c>
      <c r="F967" s="509">
        <f>(($F$960*$F$961*$F$962)/$F$965)</f>
        <v>0.72627396929999999</v>
      </c>
      <c r="G967" s="509">
        <f>(($G$960*$G$961*$G$962)/$G$965)</f>
        <v>0.9728339049000001</v>
      </c>
      <c r="H967" s="509">
        <f>(($H$960*$H$961*$H$962)/$H$965)</f>
        <v>0.9963587304</v>
      </c>
      <c r="I967" s="509">
        <f>(($I$960*$I$961*$I$962)/$I$965)</f>
        <v>1.0821531302999998</v>
      </c>
      <c r="J967" s="508"/>
    </row>
    <row r="968" spans="1:10" ht="21" customHeight="1">
      <c r="A968" s="507" t="s">
        <v>823</v>
      </c>
      <c r="B968" s="508" t="s">
        <v>648</v>
      </c>
      <c r="C968" s="508" t="s">
        <v>397</v>
      </c>
      <c r="D968" s="509">
        <v>1.5100000000000001E-3</v>
      </c>
      <c r="E968" s="509">
        <v>1.5100000000000001E-3</v>
      </c>
      <c r="F968" s="509">
        <v>1.5100000000000001E-3</v>
      </c>
      <c r="G968" s="509">
        <v>1.5100000000000001E-3</v>
      </c>
      <c r="H968" s="509">
        <v>1.5100000000000001E-3</v>
      </c>
      <c r="I968" s="509">
        <f>'Cálculos AG'!B68</f>
        <v>1.5100000000000001E-3</v>
      </c>
      <c r="J968" s="508"/>
    </row>
    <row r="969" spans="1:10" ht="21" customHeight="1">
      <c r="A969" s="507" t="s">
        <v>823</v>
      </c>
      <c r="B969" s="508" t="s">
        <v>852</v>
      </c>
      <c r="C969" s="508" t="s">
        <v>411</v>
      </c>
      <c r="D969" s="509">
        <f>$D$914</f>
        <v>11653643</v>
      </c>
      <c r="E969" s="509">
        <f>$E$914</f>
        <v>8524821.9000000004</v>
      </c>
      <c r="F969" s="509">
        <f>$F$914</f>
        <v>9754754.9399999995</v>
      </c>
      <c r="G969" s="509">
        <f>$G$914</f>
        <v>8788477</v>
      </c>
      <c r="H969" s="509">
        <f>$H$914</f>
        <v>11219708.639999999</v>
      </c>
      <c r="I969" s="509">
        <f>$I$914</f>
        <v>11128871.039999999</v>
      </c>
      <c r="J969" s="508"/>
    </row>
    <row r="970" spans="1:10" ht="21" customHeight="1">
      <c r="A970" s="507" t="s">
        <v>823</v>
      </c>
      <c r="B970" s="508" t="s">
        <v>853</v>
      </c>
      <c r="C970" s="508" t="s">
        <v>397</v>
      </c>
      <c r="D970" s="509">
        <v>1.4E-5</v>
      </c>
      <c r="E970" s="509">
        <v>1.4E-5</v>
      </c>
      <c r="F970" s="509">
        <v>1.4E-5</v>
      </c>
      <c r="G970" s="509">
        <v>1.4E-5</v>
      </c>
      <c r="H970" s="509">
        <v>1.4E-5</v>
      </c>
      <c r="I970" s="509">
        <f>'Cálculos AG'!K68</f>
        <v>1.4E-5</v>
      </c>
      <c r="J970" s="508"/>
    </row>
    <row r="971" spans="1:10" ht="21" customHeight="1">
      <c r="A971" s="507" t="s">
        <v>823</v>
      </c>
      <c r="B971" s="508" t="s">
        <v>651</v>
      </c>
      <c r="C971" s="508" t="s">
        <v>411</v>
      </c>
      <c r="D971" s="509">
        <f>$D$915</f>
        <v>4126785</v>
      </c>
      <c r="E971" s="509">
        <f>$E$915</f>
        <v>3476405</v>
      </c>
      <c r="F971" s="509">
        <f>$F$915</f>
        <v>3189609</v>
      </c>
      <c r="G971" s="509">
        <f>$G$915</f>
        <v>4272437</v>
      </c>
      <c r="H971" s="509">
        <f>$H$915</f>
        <v>4375752</v>
      </c>
      <c r="I971" s="509">
        <f>$I$915</f>
        <v>4752539</v>
      </c>
      <c r="J971" s="508"/>
    </row>
    <row r="972" spans="1:10" ht="21" customHeight="1">
      <c r="A972" s="507" t="s">
        <v>823</v>
      </c>
      <c r="B972" s="508" t="s">
        <v>652</v>
      </c>
      <c r="C972" s="508" t="s">
        <v>397</v>
      </c>
      <c r="D972" s="509">
        <v>0.13800000000000001</v>
      </c>
      <c r="E972" s="509">
        <v>0.13800000000000001</v>
      </c>
      <c r="F972" s="509">
        <v>0.13800000000000001</v>
      </c>
      <c r="G972" s="509">
        <v>0.13800000000000001</v>
      </c>
      <c r="H972" s="509">
        <v>0.13800000000000001</v>
      </c>
      <c r="I972" s="509">
        <f>'Cálculos AG'!O68</f>
        <v>0.13800000000000001</v>
      </c>
      <c r="J972" s="508"/>
    </row>
    <row r="973" spans="1:10" ht="21" customHeight="1">
      <c r="A973" s="507" t="s">
        <v>823</v>
      </c>
      <c r="B973" s="508" t="s">
        <v>854</v>
      </c>
      <c r="C973" s="508" t="s">
        <v>397</v>
      </c>
      <c r="D973" s="509">
        <v>1000</v>
      </c>
      <c r="E973" s="509">
        <v>1000</v>
      </c>
      <c r="F973" s="509">
        <v>1000</v>
      </c>
      <c r="G973" s="509">
        <v>1000</v>
      </c>
      <c r="H973" s="509">
        <v>1000</v>
      </c>
      <c r="I973" s="509">
        <f>'Cálculos AG'!B69</f>
        <v>1000</v>
      </c>
      <c r="J973" s="508"/>
    </row>
    <row r="974" spans="1:10" ht="21" customHeight="1">
      <c r="A974" s="507" t="s">
        <v>823</v>
      </c>
      <c r="B974" s="508" t="s">
        <v>855</v>
      </c>
      <c r="C974" s="508" t="s">
        <v>397</v>
      </c>
      <c r="D974" s="509">
        <v>2000</v>
      </c>
      <c r="E974" s="509">
        <v>2000</v>
      </c>
      <c r="F974" s="509">
        <v>2000</v>
      </c>
      <c r="G974" s="509">
        <v>2000</v>
      </c>
      <c r="H974" s="509">
        <v>2000</v>
      </c>
      <c r="I974" s="509">
        <f>'Cálculos AG'!F69</f>
        <v>2000</v>
      </c>
      <c r="J974" s="508"/>
    </row>
    <row r="975" spans="1:10" ht="21" customHeight="1">
      <c r="A975" s="507" t="s">
        <v>823</v>
      </c>
      <c r="B975" s="508" t="s">
        <v>856</v>
      </c>
      <c r="C975" s="508" t="s">
        <v>397</v>
      </c>
      <c r="D975" s="509">
        <v>2000</v>
      </c>
      <c r="E975" s="509">
        <v>2000</v>
      </c>
      <c r="F975" s="509">
        <v>2000</v>
      </c>
      <c r="G975" s="509">
        <v>2000</v>
      </c>
      <c r="H975" s="509">
        <v>2000</v>
      </c>
      <c r="I975" s="509">
        <f>'Cálculos AG'!Q69</f>
        <v>2000</v>
      </c>
      <c r="J975" s="508"/>
    </row>
    <row r="976" spans="1:10" ht="21" customHeight="1">
      <c r="A976" s="507" t="s">
        <v>823</v>
      </c>
      <c r="B976" s="508" t="s">
        <v>588</v>
      </c>
      <c r="C976" s="508" t="s">
        <v>411</v>
      </c>
      <c r="D976" s="509">
        <f>(($D$968/$D$973)*$D$969)/$D$974</f>
        <v>8.7985004649999993E-3</v>
      </c>
      <c r="E976" s="509">
        <f>(($E$968/$E$973)*$E$969)/$E$974</f>
        <v>6.4362405345000017E-3</v>
      </c>
      <c r="F976" s="509">
        <f>(($F$968/$F$973)*$F$969)/$F$974</f>
        <v>7.3648399797000006E-3</v>
      </c>
      <c r="G976" s="509">
        <f>(($G$968/$G$973)*$G$969)/$G$974</f>
        <v>6.6353001350000001E-3</v>
      </c>
      <c r="H976" s="509">
        <f>(($H$968/$H$973)*$H$969)/$H$974</f>
        <v>8.4708800231999993E-3</v>
      </c>
      <c r="I976" s="509">
        <f>(($I$968/$I$973)*$I$969)/$I$974</f>
        <v>8.4022976351999998E-3</v>
      </c>
      <c r="J976" s="508"/>
    </row>
    <row r="977" spans="1:10" ht="21" customHeight="1">
      <c r="A977" s="507" t="s">
        <v>823</v>
      </c>
      <c r="B977" s="508" t="s">
        <v>857</v>
      </c>
      <c r="C977" s="508" t="s">
        <v>411</v>
      </c>
      <c r="D977" s="509">
        <f>(($D$970*$D$971*$D$972)/$D$975)</f>
        <v>3.9864743100000008E-3</v>
      </c>
      <c r="E977" s="509">
        <f>(($E$970*$E$971*$E$972)/$E$975)</f>
        <v>3.3582072300000002E-3</v>
      </c>
      <c r="F977" s="509">
        <f>(($F$970*$F$971*$F$972)/$F$975)</f>
        <v>3.0811622939999998E-3</v>
      </c>
      <c r="G977" s="509">
        <f>(($G$970*$G$971*$G$972)/$G$975)</f>
        <v>4.1271741420000002E-3</v>
      </c>
      <c r="H977" s="509">
        <f>(($H$970*$H$971*$H$972)/$H$975)</f>
        <v>4.2269764320000004E-3</v>
      </c>
      <c r="I977" s="509">
        <f>(($I$970*$I$971*$I$972)/$I$975)</f>
        <v>4.5909526740000005E-3</v>
      </c>
      <c r="J977" s="508"/>
    </row>
    <row r="978" spans="1:10" ht="21" customHeight="1">
      <c r="A978" s="507" t="s">
        <v>823</v>
      </c>
      <c r="B978" s="508" t="s">
        <v>858</v>
      </c>
      <c r="C978" s="508" t="s">
        <v>411</v>
      </c>
      <c r="D978" s="509">
        <f>$D$916</f>
        <v>25.035941452772921</v>
      </c>
      <c r="E978" s="509">
        <f>$E$916</f>
        <v>25.035941452772921</v>
      </c>
      <c r="F978" s="509">
        <f>$F$916</f>
        <v>25.035941452772921</v>
      </c>
      <c r="G978" s="509">
        <f>$G$916</f>
        <v>25.035941452772921</v>
      </c>
      <c r="H978" s="509">
        <f>$H$916</f>
        <v>25.035941452772921</v>
      </c>
      <c r="I978" s="509">
        <f>$I$916</f>
        <v>25.035941452772921</v>
      </c>
      <c r="J978" s="508"/>
    </row>
    <row r="979" spans="1:10" ht="21" customHeight="1">
      <c r="A979" s="507" t="s">
        <v>823</v>
      </c>
      <c r="B979" s="508" t="s">
        <v>859</v>
      </c>
      <c r="C979" s="508" t="s">
        <v>411</v>
      </c>
      <c r="D979" s="509">
        <f>$D$914</f>
        <v>11653643</v>
      </c>
      <c r="E979" s="509">
        <f>$E$914</f>
        <v>8524821.9000000004</v>
      </c>
      <c r="F979" s="509">
        <f>$F$914</f>
        <v>9754754.9399999995</v>
      </c>
      <c r="G979" s="509">
        <f>$G$914</f>
        <v>8788477</v>
      </c>
      <c r="H979" s="509">
        <f>$H$914</f>
        <v>11219708.639999999</v>
      </c>
      <c r="I979" s="509">
        <f>$I$914</f>
        <v>11128871.039999999</v>
      </c>
      <c r="J979" s="508"/>
    </row>
    <row r="980" spans="1:10" ht="21" customHeight="1">
      <c r="A980" s="507" t="s">
        <v>823</v>
      </c>
      <c r="B980" s="508" t="s">
        <v>860</v>
      </c>
      <c r="C980" s="508" t="s">
        <v>411</v>
      </c>
      <c r="D980" s="509">
        <f>$D$919</f>
        <v>22.578420600240001</v>
      </c>
      <c r="E980" s="509">
        <f>$E$919</f>
        <v>22.578420600240001</v>
      </c>
      <c r="F980" s="509">
        <f>$F$919</f>
        <v>22.578420600240001</v>
      </c>
      <c r="G980" s="509">
        <f>$G$919</f>
        <v>22.579333304640002</v>
      </c>
      <c r="H980" s="509">
        <f>$H$919</f>
        <v>22.578420600240001</v>
      </c>
      <c r="I980" s="509">
        <f>$I$919</f>
        <v>22.579333304640002</v>
      </c>
      <c r="J980" s="508"/>
    </row>
    <row r="981" spans="1:10" ht="21" customHeight="1">
      <c r="A981" s="507" t="s">
        <v>823</v>
      </c>
      <c r="B981" s="508" t="s">
        <v>861</v>
      </c>
      <c r="C981" s="508" t="s">
        <v>411</v>
      </c>
      <c r="D981" s="509">
        <f>$D$915</f>
        <v>4126785</v>
      </c>
      <c r="E981" s="509">
        <f>$E$915</f>
        <v>3476405</v>
      </c>
      <c r="F981" s="509">
        <f>$F$915</f>
        <v>3189609</v>
      </c>
      <c r="G981" s="509">
        <f>$G$915</f>
        <v>4272437</v>
      </c>
      <c r="H981" s="509">
        <f>$H$915</f>
        <v>4375752</v>
      </c>
      <c r="I981" s="509">
        <f>$I$915</f>
        <v>4752539</v>
      </c>
      <c r="J981" s="508"/>
    </row>
    <row r="982" spans="1:10" ht="21" customHeight="1">
      <c r="A982" s="507" t="s">
        <v>823</v>
      </c>
      <c r="B982" s="508" t="s">
        <v>862</v>
      </c>
      <c r="C982" s="508" t="s">
        <v>397</v>
      </c>
      <c r="D982" s="509">
        <v>2000</v>
      </c>
      <c r="E982" s="509">
        <v>2000</v>
      </c>
      <c r="F982" s="509">
        <v>2000</v>
      </c>
      <c r="G982" s="509">
        <v>2000</v>
      </c>
      <c r="H982" s="509">
        <v>2000</v>
      </c>
      <c r="I982" s="509">
        <f>'Cálculos AG'!F79</f>
        <v>2000</v>
      </c>
      <c r="J982" s="508"/>
    </row>
    <row r="983" spans="1:10" ht="21" customHeight="1">
      <c r="A983" s="507" t="s">
        <v>823</v>
      </c>
      <c r="B983" s="508" t="s">
        <v>863</v>
      </c>
      <c r="C983" s="508" t="s">
        <v>397</v>
      </c>
      <c r="D983" s="509">
        <v>2000</v>
      </c>
      <c r="E983" s="509">
        <v>2000</v>
      </c>
      <c r="F983" s="509">
        <v>2000</v>
      </c>
      <c r="G983" s="509">
        <v>2000</v>
      </c>
      <c r="H983" s="509">
        <v>2000</v>
      </c>
      <c r="I983" s="509">
        <f>'Cálculos AG'!O79</f>
        <v>2000</v>
      </c>
      <c r="J983" s="508"/>
    </row>
    <row r="984" spans="1:10" ht="21" customHeight="1">
      <c r="A984" s="507" t="s">
        <v>823</v>
      </c>
      <c r="B984" s="508" t="s">
        <v>742</v>
      </c>
      <c r="C984" s="508" t="s">
        <v>411</v>
      </c>
      <c r="D984" s="509">
        <f>$D$978*$D$979/$D$982</f>
        <v>145879.96192975849</v>
      </c>
      <c r="E984" s="509">
        <f>$E$978*$E$979/$E$982</f>
        <v>106713.47099185821</v>
      </c>
      <c r="F984" s="509">
        <f>$F$978*$F$979/$F$982</f>
        <v>122109.73678199371</v>
      </c>
      <c r="G984" s="509">
        <f>$G$978*$G$979/$G$982</f>
        <v>110013.8978155207</v>
      </c>
      <c r="H984" s="509">
        <f>$H$978*$H$979/$H$982</f>
        <v>140447.98431410524</v>
      </c>
      <c r="I984" s="509">
        <f>$I$978*$I$979/$I$982</f>
        <v>139310.88189645004</v>
      </c>
      <c r="J984" s="508"/>
    </row>
    <row r="985" spans="1:10" ht="21" customHeight="1">
      <c r="A985" s="507" t="s">
        <v>823</v>
      </c>
      <c r="B985" s="508" t="s">
        <v>864</v>
      </c>
      <c r="C985" s="508" t="s">
        <v>411</v>
      </c>
      <c r="D985" s="509">
        <f>$D$980*$D$981/$D$983</f>
        <v>46588.143728380717</v>
      </c>
      <c r="E985" s="509">
        <f>$E$980*$E$981/$E$983</f>
        <v>39245.867133388667</v>
      </c>
      <c r="F985" s="509">
        <f>$F$980*$F$981/$F$983</f>
        <v>36008.166776155456</v>
      </c>
      <c r="G985" s="509">
        <f>$G$980*$G$981/$G$983</f>
        <v>48234.389523038109</v>
      </c>
      <c r="H985" s="509">
        <f>$H$980*$H$981/$H$983</f>
        <v>49398.784549170698</v>
      </c>
      <c r="I985" s="509">
        <f>$I$980*$I$981/$I$983</f>
        <v>53654.581062150246</v>
      </c>
      <c r="J985" s="508"/>
    </row>
    <row r="986" spans="1:10" ht="21" customHeight="1">
      <c r="A986" s="510" t="s">
        <v>865</v>
      </c>
      <c r="B986" s="506"/>
      <c r="C986" s="506"/>
      <c r="D986" s="511"/>
      <c r="E986" s="511"/>
      <c r="F986" s="511"/>
      <c r="G986" s="511"/>
      <c r="H986" s="511"/>
      <c r="I986" s="512"/>
      <c r="J986" s="506"/>
    </row>
    <row r="987" spans="1:10" ht="21" customHeight="1">
      <c r="A987" s="507" t="s">
        <v>865</v>
      </c>
      <c r="B987" s="508" t="s">
        <v>661</v>
      </c>
      <c r="C987" s="508" t="s">
        <v>411</v>
      </c>
      <c r="D987" s="509">
        <f>$D$928+$D$929</f>
        <v>45.205193731549997</v>
      </c>
      <c r="E987" s="509">
        <f>$E$928+$E$929</f>
        <v>34.622342649030003</v>
      </c>
      <c r="F987" s="509">
        <f>$F$928+$F$929</f>
        <v>38.516546232585</v>
      </c>
      <c r="G987" s="509">
        <f>$G$928+$G$929</f>
        <v>36.263229640900008</v>
      </c>
      <c r="H987" s="509">
        <f>$H$928+$H$929</f>
        <v>45.401951718767997</v>
      </c>
      <c r="I987" s="509">
        <f>$I$928+$I$929</f>
        <v>45.887051007935995</v>
      </c>
      <c r="J987" s="508" t="s">
        <v>31</v>
      </c>
    </row>
    <row r="988" spans="1:10" ht="21" customHeight="1">
      <c r="A988" s="507" t="s">
        <v>865</v>
      </c>
      <c r="B988" s="508" t="s">
        <v>662</v>
      </c>
      <c r="C988" s="508" t="s">
        <v>411</v>
      </c>
      <c r="D988" s="509">
        <f>$D$938+$D$939</f>
        <v>396.24467593150001</v>
      </c>
      <c r="E988" s="509">
        <f>$E$938+$E$939</f>
        <v>308.07358947345</v>
      </c>
      <c r="F988" s="509">
        <f>$F$938+$F$939</f>
        <v>344.80900210671007</v>
      </c>
      <c r="G988" s="509">
        <f>$G$938+$G$939</f>
        <v>320.32936581529998</v>
      </c>
      <c r="H988" s="509">
        <f>$H$938+$H$939</f>
        <v>405.3876359159039</v>
      </c>
      <c r="I988" s="509">
        <f>$I$938+$I$939</f>
        <v>413.24933256407991</v>
      </c>
      <c r="J988" s="508" t="s">
        <v>13</v>
      </c>
    </row>
    <row r="989" spans="1:10" ht="21" customHeight="1">
      <c r="A989" s="507" t="s">
        <v>865</v>
      </c>
      <c r="B989" s="508" t="s">
        <v>663</v>
      </c>
      <c r="C989" s="508" t="s">
        <v>411</v>
      </c>
      <c r="D989" s="509">
        <f>$D$946+$D$947</f>
        <v>539.00604945000009</v>
      </c>
      <c r="E989" s="509">
        <f>$E$946+$E$947</f>
        <v>422.07665362500006</v>
      </c>
      <c r="F989" s="509">
        <f>$F$946+$F$947</f>
        <v>435.10324324499999</v>
      </c>
      <c r="G989" s="509">
        <f>$G$946+$G$947</f>
        <v>476.93718039000004</v>
      </c>
      <c r="H989" s="509">
        <f>$H$946+$H$947</f>
        <v>543.38345028000003</v>
      </c>
      <c r="I989" s="509">
        <f>$I$946+$I$947</f>
        <v>564.01372632000005</v>
      </c>
      <c r="J989" s="508" t="s">
        <v>14</v>
      </c>
    </row>
    <row r="990" spans="1:10" ht="21" customHeight="1">
      <c r="A990" s="507" t="s">
        <v>865</v>
      </c>
      <c r="B990" s="508" t="s">
        <v>664</v>
      </c>
      <c r="C990" s="508" t="s">
        <v>411</v>
      </c>
      <c r="D990" s="509">
        <f>$D$956+$D$957</f>
        <v>4.5451310876500006</v>
      </c>
      <c r="E990" s="509">
        <f>$E$956+$E$957</f>
        <v>3.3377798194500001</v>
      </c>
      <c r="F990" s="509">
        <f>$F$956+$F$957</f>
        <v>3.7970409158099998</v>
      </c>
      <c r="G990" s="509">
        <f>$G$956+$G$957</f>
        <v>3.4604885027300005</v>
      </c>
      <c r="H990" s="509">
        <f>$H$956+$H$957</f>
        <v>4.3872793072799992</v>
      </c>
      <c r="I990" s="509">
        <f>$I$956+$I$957</f>
        <v>4.3634203235099998</v>
      </c>
      <c r="J990" s="508" t="s">
        <v>866</v>
      </c>
    </row>
    <row r="991" spans="1:10" ht="21" customHeight="1">
      <c r="A991" s="507" t="s">
        <v>865</v>
      </c>
      <c r="B991" s="508" t="s">
        <v>665</v>
      </c>
      <c r="C991" s="508" t="s">
        <v>411</v>
      </c>
      <c r="D991" s="509">
        <f>$D$966+$D$967</f>
        <v>30.073776444500002</v>
      </c>
      <c r="E991" s="509">
        <f>$E$966+$E$967</f>
        <v>22.103632168500003</v>
      </c>
      <c r="F991" s="509">
        <f>$F$966+$F$967</f>
        <v>25.113161319300001</v>
      </c>
      <c r="G991" s="509">
        <f>$G$966+$G$967</f>
        <v>22.944026404900001</v>
      </c>
      <c r="H991" s="509">
        <f>$H$966+$H$967</f>
        <v>29.045630330399998</v>
      </c>
      <c r="I991" s="509">
        <f>$I$966+$I$967</f>
        <v>28.9043307303</v>
      </c>
      <c r="J991" s="508" t="s">
        <v>667</v>
      </c>
    </row>
    <row r="992" spans="1:10" ht="21" customHeight="1">
      <c r="A992" s="507" t="s">
        <v>865</v>
      </c>
      <c r="B992" s="508" t="s">
        <v>565</v>
      </c>
      <c r="C992" s="508" t="s">
        <v>411</v>
      </c>
      <c r="D992" s="509">
        <f>$D$976+$D$977</f>
        <v>1.2784974774999999E-2</v>
      </c>
      <c r="E992" s="509">
        <f>$E$976+$E$977</f>
        <v>9.7944477645000028E-3</v>
      </c>
      <c r="F992" s="509">
        <f>$F$976+$F$977</f>
        <v>1.04460022737E-2</v>
      </c>
      <c r="G992" s="509">
        <f>$G$976+$G$977</f>
        <v>1.0762474277E-2</v>
      </c>
      <c r="H992" s="509">
        <f>$H$976+$H$977</f>
        <v>1.26978564552E-2</v>
      </c>
      <c r="I992" s="509">
        <f>$I$976+$I$977</f>
        <v>1.29932503092E-2</v>
      </c>
      <c r="J992" s="508" t="s">
        <v>867</v>
      </c>
    </row>
    <row r="993" spans="1:10" ht="21" customHeight="1">
      <c r="A993" s="507" t="s">
        <v>865</v>
      </c>
      <c r="B993" s="508" t="s">
        <v>666</v>
      </c>
      <c r="C993" s="508" t="s">
        <v>411</v>
      </c>
      <c r="D993" s="509">
        <f>$D$984+$D$985</f>
        <v>192468.10565813922</v>
      </c>
      <c r="E993" s="509">
        <f>$E$984+$E$985</f>
        <v>145959.33812524687</v>
      </c>
      <c r="F993" s="509">
        <f>$F$984+$F$985</f>
        <v>158117.90355814918</v>
      </c>
      <c r="G993" s="509">
        <f>$G$984+$G$985</f>
        <v>158248.28733855882</v>
      </c>
      <c r="H993" s="509">
        <f>$H$984+$H$985</f>
        <v>189846.76886327594</v>
      </c>
      <c r="I993" s="509">
        <f>$I$984+$I$985</f>
        <v>192965.46295860028</v>
      </c>
      <c r="J993" s="508" t="s">
        <v>868</v>
      </c>
    </row>
    <row r="994" spans="1:10" ht="21" customHeight="1">
      <c r="A994" s="510" t="s">
        <v>21</v>
      </c>
      <c r="B994" s="506"/>
      <c r="C994" s="506"/>
      <c r="D994" s="511"/>
      <c r="E994" s="511"/>
      <c r="F994" s="511"/>
      <c r="G994" s="511"/>
      <c r="H994" s="511"/>
      <c r="I994" s="512"/>
      <c r="J994" s="506"/>
    </row>
    <row r="995" spans="1:10" ht="21" customHeight="1">
      <c r="A995" s="507" t="s">
        <v>21</v>
      </c>
      <c r="B995" s="508" t="s">
        <v>396</v>
      </c>
      <c r="C995" s="508" t="s">
        <v>397</v>
      </c>
      <c r="D995" s="509">
        <v>0</v>
      </c>
      <c r="E995" s="509"/>
      <c r="F995" s="509"/>
      <c r="G995" s="509"/>
      <c r="H995" s="509"/>
      <c r="I995" s="509"/>
      <c r="J995" s="508" t="s">
        <v>401</v>
      </c>
    </row>
    <row r="996" spans="1:10" ht="21" customHeight="1">
      <c r="A996" s="507" t="s">
        <v>21</v>
      </c>
      <c r="B996" s="508" t="s">
        <v>399</v>
      </c>
      <c r="C996" s="508" t="s">
        <v>397</v>
      </c>
      <c r="D996" s="509">
        <v>0</v>
      </c>
      <c r="E996" s="509"/>
      <c r="F996" s="509"/>
      <c r="G996" s="509"/>
      <c r="H996" s="509"/>
      <c r="I996" s="509"/>
      <c r="J996" s="508" t="s">
        <v>401</v>
      </c>
    </row>
    <row r="997" spans="1:10" ht="21" customHeight="1">
      <c r="A997" s="507" t="s">
        <v>21</v>
      </c>
      <c r="B997" s="508" t="s">
        <v>400</v>
      </c>
      <c r="C997" s="508" t="s">
        <v>397</v>
      </c>
      <c r="D997" s="509">
        <v>1661098</v>
      </c>
      <c r="E997" s="509"/>
      <c r="F997" s="509"/>
      <c r="G997" s="509"/>
      <c r="H997" s="509"/>
      <c r="I997" s="509"/>
      <c r="J997" s="508" t="s">
        <v>401</v>
      </c>
    </row>
    <row r="998" spans="1:10" ht="21" customHeight="1">
      <c r="A998" s="507" t="s">
        <v>21</v>
      </c>
      <c r="B998" s="508" t="s">
        <v>402</v>
      </c>
      <c r="C998" s="508" t="s">
        <v>397</v>
      </c>
      <c r="D998" s="509">
        <v>6451224</v>
      </c>
      <c r="E998" s="509"/>
      <c r="F998" s="509"/>
      <c r="G998" s="509"/>
      <c r="H998" s="509"/>
      <c r="I998" s="509"/>
      <c r="J998" s="508" t="s">
        <v>401</v>
      </c>
    </row>
    <row r="999" spans="1:10" ht="21" customHeight="1">
      <c r="A999" s="507" t="s">
        <v>21</v>
      </c>
      <c r="B999" s="508" t="s">
        <v>403</v>
      </c>
      <c r="C999" s="508" t="s">
        <v>397</v>
      </c>
      <c r="D999" s="509" t="s">
        <v>135</v>
      </c>
      <c r="E999" s="509"/>
      <c r="F999" s="509"/>
      <c r="G999" s="509"/>
      <c r="H999" s="509"/>
      <c r="I999" s="509"/>
      <c r="J999" s="508" t="s">
        <v>401</v>
      </c>
    </row>
    <row r="1000" spans="1:10" ht="21" customHeight="1">
      <c r="A1000" s="507" t="s">
        <v>21</v>
      </c>
      <c r="B1000" s="508" t="s">
        <v>404</v>
      </c>
      <c r="C1000" s="508" t="s">
        <v>397</v>
      </c>
      <c r="D1000" s="509" t="s">
        <v>135</v>
      </c>
      <c r="E1000" s="509"/>
      <c r="F1000" s="509"/>
      <c r="G1000" s="509"/>
      <c r="H1000" s="509"/>
      <c r="I1000" s="509"/>
      <c r="J1000" s="508" t="s">
        <v>401</v>
      </c>
    </row>
    <row r="1001" spans="1:10" ht="21" customHeight="1">
      <c r="A1001" s="507" t="s">
        <v>21</v>
      </c>
      <c r="B1001" s="508" t="s">
        <v>405</v>
      </c>
      <c r="C1001" s="508" t="s">
        <v>397</v>
      </c>
      <c r="D1001" s="509">
        <v>0.48</v>
      </c>
      <c r="E1001" s="509"/>
      <c r="F1001" s="509"/>
      <c r="G1001" s="509"/>
      <c r="H1001" s="509"/>
      <c r="I1001" s="509"/>
      <c r="J1001" s="508" t="s">
        <v>401</v>
      </c>
    </row>
    <row r="1002" spans="1:10" ht="21" customHeight="1">
      <c r="A1002" s="507" t="s">
        <v>21</v>
      </c>
      <c r="B1002" s="508" t="s">
        <v>406</v>
      </c>
      <c r="C1002" s="508" t="s">
        <v>397</v>
      </c>
      <c r="D1002" s="509">
        <v>0.48</v>
      </c>
      <c r="E1002" s="509"/>
      <c r="F1002" s="509"/>
      <c r="G1002" s="509"/>
      <c r="H1002" s="509"/>
      <c r="I1002" s="509"/>
      <c r="J1002" s="508" t="s">
        <v>401</v>
      </c>
    </row>
    <row r="1003" spans="1:10" ht="21" customHeight="1">
      <c r="A1003" s="507" t="s">
        <v>21</v>
      </c>
      <c r="B1003" s="508" t="s">
        <v>407</v>
      </c>
      <c r="C1003" s="508" t="s">
        <v>397</v>
      </c>
      <c r="D1003" s="509"/>
      <c r="E1003" s="509">
        <v>0</v>
      </c>
      <c r="F1003" s="509"/>
      <c r="G1003" s="509"/>
      <c r="H1003" s="509"/>
      <c r="I1003" s="509"/>
      <c r="J1003" s="508" t="s">
        <v>412</v>
      </c>
    </row>
    <row r="1004" spans="1:10" ht="21" customHeight="1">
      <c r="A1004" s="507" t="s">
        <v>21</v>
      </c>
      <c r="B1004" s="508" t="s">
        <v>409</v>
      </c>
      <c r="C1004" s="508" t="s">
        <v>397</v>
      </c>
      <c r="D1004" s="509"/>
      <c r="E1004" s="509">
        <v>0</v>
      </c>
      <c r="F1004" s="509"/>
      <c r="G1004" s="509"/>
      <c r="H1004" s="509"/>
      <c r="I1004" s="509"/>
      <c r="J1004" s="508" t="s">
        <v>412</v>
      </c>
    </row>
    <row r="1005" spans="1:10" ht="21" customHeight="1">
      <c r="A1005" s="507" t="s">
        <v>21</v>
      </c>
      <c r="B1005" s="508" t="s">
        <v>410</v>
      </c>
      <c r="C1005" s="508" t="s">
        <v>397</v>
      </c>
      <c r="D1005" s="509"/>
      <c r="E1005" s="509">
        <v>0</v>
      </c>
      <c r="F1005" s="509"/>
      <c r="G1005" s="509"/>
      <c r="H1005" s="509"/>
      <c r="I1005" s="509"/>
      <c r="J1005" s="508" t="s">
        <v>412</v>
      </c>
    </row>
    <row r="1006" spans="1:10" ht="21" customHeight="1">
      <c r="A1006" s="507" t="s">
        <v>21</v>
      </c>
      <c r="B1006" s="508" t="s">
        <v>413</v>
      </c>
      <c r="C1006" s="508" t="s">
        <v>397</v>
      </c>
      <c r="D1006" s="509"/>
      <c r="E1006" s="509">
        <v>4217354</v>
      </c>
      <c r="F1006" s="509"/>
      <c r="G1006" s="509"/>
      <c r="H1006" s="509"/>
      <c r="I1006" s="509"/>
      <c r="J1006" s="508" t="s">
        <v>412</v>
      </c>
    </row>
    <row r="1007" spans="1:10" ht="21" customHeight="1">
      <c r="A1007" s="507" t="s">
        <v>21</v>
      </c>
      <c r="B1007" s="508" t="s">
        <v>414</v>
      </c>
      <c r="C1007" s="508" t="s">
        <v>397</v>
      </c>
      <c r="D1007" s="509"/>
      <c r="E1007" s="509" t="s">
        <v>135</v>
      </c>
      <c r="F1007" s="509"/>
      <c r="G1007" s="509"/>
      <c r="H1007" s="509"/>
      <c r="I1007" s="509"/>
      <c r="J1007" s="508" t="s">
        <v>412</v>
      </c>
    </row>
    <row r="1008" spans="1:10" ht="21" customHeight="1">
      <c r="A1008" s="507" t="s">
        <v>21</v>
      </c>
      <c r="B1008" s="508" t="s">
        <v>415</v>
      </c>
      <c r="C1008" s="508" t="s">
        <v>397</v>
      </c>
      <c r="D1008" s="509"/>
      <c r="E1008" s="509" t="s">
        <v>135</v>
      </c>
      <c r="F1008" s="509"/>
      <c r="G1008" s="509"/>
      <c r="H1008" s="509"/>
      <c r="I1008" s="509"/>
      <c r="J1008" s="508" t="s">
        <v>412</v>
      </c>
    </row>
    <row r="1009" spans="1:10" ht="21" customHeight="1">
      <c r="A1009" s="507" t="s">
        <v>21</v>
      </c>
      <c r="B1009" s="508" t="s">
        <v>416</v>
      </c>
      <c r="C1009" s="508" t="s">
        <v>397</v>
      </c>
      <c r="D1009" s="509"/>
      <c r="E1009" s="509">
        <v>0.46</v>
      </c>
      <c r="F1009" s="509"/>
      <c r="G1009" s="509"/>
      <c r="H1009" s="509"/>
      <c r="I1009" s="509"/>
      <c r="J1009" s="508" t="s">
        <v>412</v>
      </c>
    </row>
    <row r="1010" spans="1:10" ht="21" customHeight="1">
      <c r="A1010" s="507" t="s">
        <v>21</v>
      </c>
      <c r="B1010" s="508" t="s">
        <v>417</v>
      </c>
      <c r="C1010" s="508" t="s">
        <v>397</v>
      </c>
      <c r="D1010" s="509"/>
      <c r="E1010" s="509">
        <v>0.46</v>
      </c>
      <c r="F1010" s="509"/>
      <c r="G1010" s="509"/>
      <c r="H1010" s="509"/>
      <c r="I1010" s="509"/>
      <c r="J1010" s="508" t="s">
        <v>412</v>
      </c>
    </row>
    <row r="1011" spans="1:10" ht="21" customHeight="1">
      <c r="A1011" s="507" t="s">
        <v>21</v>
      </c>
      <c r="B1011" s="508" t="s">
        <v>420</v>
      </c>
      <c r="C1011" s="508" t="s">
        <v>397</v>
      </c>
      <c r="D1011" s="509"/>
      <c r="E1011" s="509"/>
      <c r="F1011" s="509">
        <v>0</v>
      </c>
      <c r="G1011" s="509"/>
      <c r="H1011" s="509"/>
      <c r="I1011" s="509"/>
      <c r="J1011" s="508" t="s">
        <v>679</v>
      </c>
    </row>
    <row r="1012" spans="1:10" ht="21" customHeight="1">
      <c r="A1012" s="507" t="s">
        <v>21</v>
      </c>
      <c r="B1012" s="508" t="s">
        <v>422</v>
      </c>
      <c r="C1012" s="508" t="s">
        <v>397</v>
      </c>
      <c r="D1012" s="509"/>
      <c r="E1012" s="509"/>
      <c r="F1012" s="509">
        <v>0</v>
      </c>
      <c r="G1012" s="509"/>
      <c r="H1012" s="509"/>
      <c r="I1012" s="509"/>
      <c r="J1012" s="508" t="s">
        <v>679</v>
      </c>
    </row>
    <row r="1013" spans="1:10" ht="21" customHeight="1">
      <c r="A1013" s="507" t="s">
        <v>21</v>
      </c>
      <c r="B1013" s="508" t="s">
        <v>423</v>
      </c>
      <c r="C1013" s="508" t="s">
        <v>397</v>
      </c>
      <c r="D1013" s="509"/>
      <c r="E1013" s="509"/>
      <c r="F1013" s="509">
        <v>0</v>
      </c>
      <c r="G1013" s="509"/>
      <c r="H1013" s="509"/>
      <c r="I1013" s="509"/>
      <c r="J1013" s="508" t="s">
        <v>679</v>
      </c>
    </row>
    <row r="1014" spans="1:10" ht="21" customHeight="1">
      <c r="A1014" s="507" t="s">
        <v>21</v>
      </c>
      <c r="B1014" s="508" t="s">
        <v>424</v>
      </c>
      <c r="C1014" s="508" t="s">
        <v>397</v>
      </c>
      <c r="D1014" s="509"/>
      <c r="E1014" s="509"/>
      <c r="F1014" s="509">
        <v>26297</v>
      </c>
      <c r="G1014" s="509"/>
      <c r="H1014" s="509"/>
      <c r="I1014" s="509"/>
      <c r="J1014" s="508" t="s">
        <v>679</v>
      </c>
    </row>
    <row r="1015" spans="1:10" ht="21" customHeight="1">
      <c r="A1015" s="507" t="s">
        <v>21</v>
      </c>
      <c r="B1015" s="508" t="s">
        <v>425</v>
      </c>
      <c r="C1015" s="508" t="s">
        <v>397</v>
      </c>
      <c r="D1015" s="509"/>
      <c r="E1015" s="509"/>
      <c r="F1015" s="509" t="s">
        <v>135</v>
      </c>
      <c r="G1015" s="509"/>
      <c r="H1015" s="509"/>
      <c r="I1015" s="509"/>
      <c r="J1015" s="508" t="s">
        <v>679</v>
      </c>
    </row>
    <row r="1016" spans="1:10" ht="21" customHeight="1">
      <c r="A1016" s="507" t="s">
        <v>21</v>
      </c>
      <c r="B1016" s="508" t="s">
        <v>426</v>
      </c>
      <c r="C1016" s="508" t="s">
        <v>397</v>
      </c>
      <c r="D1016" s="509"/>
      <c r="E1016" s="509"/>
      <c r="F1016" s="509" t="s">
        <v>135</v>
      </c>
      <c r="G1016" s="509"/>
      <c r="H1016" s="509"/>
      <c r="I1016" s="509"/>
      <c r="J1016" s="508" t="s">
        <v>679</v>
      </c>
    </row>
    <row r="1017" spans="1:10" ht="21" customHeight="1">
      <c r="A1017" s="507" t="s">
        <v>21</v>
      </c>
      <c r="B1017" s="508" t="s">
        <v>427</v>
      </c>
      <c r="C1017" s="508" t="s">
        <v>397</v>
      </c>
      <c r="D1017" s="509"/>
      <c r="E1017" s="509"/>
      <c r="F1017" s="509">
        <v>0.5</v>
      </c>
      <c r="G1017" s="509"/>
      <c r="H1017" s="509"/>
      <c r="I1017" s="509"/>
      <c r="J1017" s="508" t="s">
        <v>679</v>
      </c>
    </row>
    <row r="1018" spans="1:10" ht="21" customHeight="1">
      <c r="A1018" s="507" t="s">
        <v>21</v>
      </c>
      <c r="B1018" s="508" t="s">
        <v>428</v>
      </c>
      <c r="C1018" s="508" t="s">
        <v>397</v>
      </c>
      <c r="D1018" s="509"/>
      <c r="E1018" s="509"/>
      <c r="F1018" s="509">
        <v>0.5</v>
      </c>
      <c r="G1018" s="509"/>
      <c r="H1018" s="509"/>
      <c r="I1018" s="509"/>
      <c r="J1018" s="508" t="s">
        <v>679</v>
      </c>
    </row>
    <row r="1019" spans="1:10" ht="21" customHeight="1">
      <c r="A1019" s="507" t="s">
        <v>21</v>
      </c>
      <c r="B1019" s="508" t="s">
        <v>431</v>
      </c>
      <c r="C1019" s="508" t="s">
        <v>397</v>
      </c>
      <c r="D1019" s="509"/>
      <c r="E1019" s="509"/>
      <c r="F1019" s="509"/>
      <c r="G1019" s="509">
        <v>5487594</v>
      </c>
      <c r="H1019" s="509"/>
      <c r="I1019" s="509"/>
      <c r="J1019" s="508" t="s">
        <v>432</v>
      </c>
    </row>
    <row r="1020" spans="1:10" ht="21" customHeight="1">
      <c r="A1020" s="507" t="s">
        <v>21</v>
      </c>
      <c r="B1020" s="508" t="s">
        <v>433</v>
      </c>
      <c r="C1020" s="508" t="s">
        <v>397</v>
      </c>
      <c r="D1020" s="509"/>
      <c r="E1020" s="509"/>
      <c r="F1020" s="509"/>
      <c r="G1020" s="509">
        <v>0</v>
      </c>
      <c r="H1020" s="509"/>
      <c r="I1020" s="509"/>
      <c r="J1020" s="508" t="s">
        <v>432</v>
      </c>
    </row>
    <row r="1021" spans="1:10" ht="21" customHeight="1">
      <c r="A1021" s="507" t="s">
        <v>21</v>
      </c>
      <c r="B1021" s="508" t="s">
        <v>434</v>
      </c>
      <c r="C1021" s="508" t="s">
        <v>397</v>
      </c>
      <c r="D1021" s="509"/>
      <c r="E1021" s="509"/>
      <c r="F1021" s="509"/>
      <c r="G1021" s="509">
        <v>0</v>
      </c>
      <c r="H1021" s="509"/>
      <c r="I1021" s="509"/>
      <c r="J1021" s="508" t="s">
        <v>432</v>
      </c>
    </row>
    <row r="1022" spans="1:10" ht="21" customHeight="1">
      <c r="A1022" s="507" t="s">
        <v>21</v>
      </c>
      <c r="B1022" s="508" t="s">
        <v>435</v>
      </c>
      <c r="C1022" s="508" t="s">
        <v>397</v>
      </c>
      <c r="D1022" s="509"/>
      <c r="E1022" s="509"/>
      <c r="F1022" s="509"/>
      <c r="G1022" s="509">
        <v>0</v>
      </c>
      <c r="H1022" s="509"/>
      <c r="I1022" s="509"/>
      <c r="J1022" s="508" t="s">
        <v>432</v>
      </c>
    </row>
    <row r="1023" spans="1:10" ht="21" customHeight="1">
      <c r="A1023" s="507" t="s">
        <v>21</v>
      </c>
      <c r="B1023" s="508" t="s">
        <v>436</v>
      </c>
      <c r="C1023" s="508" t="s">
        <v>674</v>
      </c>
      <c r="D1023" s="509"/>
      <c r="E1023" s="509"/>
      <c r="F1023" s="509"/>
      <c r="G1023" s="509"/>
      <c r="H1023" s="509"/>
      <c r="I1023" s="509"/>
      <c r="J1023" s="508" t="s">
        <v>432</v>
      </c>
    </row>
    <row r="1024" spans="1:10" ht="21" customHeight="1">
      <c r="A1024" s="507" t="s">
        <v>21</v>
      </c>
      <c r="B1024" s="508" t="s">
        <v>437</v>
      </c>
      <c r="C1024" s="508" t="s">
        <v>674</v>
      </c>
      <c r="D1024" s="509"/>
      <c r="E1024" s="509"/>
      <c r="F1024" s="509"/>
      <c r="G1024" s="509"/>
      <c r="H1024" s="509"/>
      <c r="I1024" s="509"/>
      <c r="J1024" s="508" t="s">
        <v>432</v>
      </c>
    </row>
    <row r="1025" spans="1:10" ht="21" customHeight="1">
      <c r="A1025" s="507" t="s">
        <v>21</v>
      </c>
      <c r="B1025" s="508" t="s">
        <v>438</v>
      </c>
      <c r="C1025" s="508" t="s">
        <v>397</v>
      </c>
      <c r="D1025" s="509"/>
      <c r="E1025" s="509"/>
      <c r="F1025" s="509"/>
      <c r="G1025" s="509">
        <v>0.49</v>
      </c>
      <c r="H1025" s="509"/>
      <c r="I1025" s="509"/>
      <c r="J1025" s="508" t="s">
        <v>432</v>
      </c>
    </row>
    <row r="1026" spans="1:10" ht="21" customHeight="1">
      <c r="A1026" s="507" t="s">
        <v>21</v>
      </c>
      <c r="B1026" s="508" t="s">
        <v>439</v>
      </c>
      <c r="C1026" s="508" t="s">
        <v>397</v>
      </c>
      <c r="D1026" s="509"/>
      <c r="E1026" s="509"/>
      <c r="F1026" s="509"/>
      <c r="G1026" s="509">
        <v>0.49</v>
      </c>
      <c r="H1026" s="509"/>
      <c r="I1026" s="509"/>
      <c r="J1026" s="508" t="s">
        <v>432</v>
      </c>
    </row>
    <row r="1027" spans="1:10" ht="21" customHeight="1">
      <c r="A1027" s="507" t="s">
        <v>21</v>
      </c>
      <c r="B1027" s="508" t="s">
        <v>440</v>
      </c>
      <c r="C1027" s="508" t="s">
        <v>397</v>
      </c>
      <c r="D1027" s="509"/>
      <c r="E1027" s="509"/>
      <c r="F1027" s="509"/>
      <c r="G1027" s="509"/>
      <c r="H1027" s="509">
        <v>0</v>
      </c>
      <c r="I1027" s="509"/>
      <c r="J1027" s="508" t="s">
        <v>444</v>
      </c>
    </row>
    <row r="1028" spans="1:10" ht="21" customHeight="1">
      <c r="A1028" s="507" t="s">
        <v>21</v>
      </c>
      <c r="B1028" s="508" t="s">
        <v>442</v>
      </c>
      <c r="C1028" s="508" t="s">
        <v>397</v>
      </c>
      <c r="D1028" s="509"/>
      <c r="E1028" s="509"/>
      <c r="F1028" s="509"/>
      <c r="G1028" s="509"/>
      <c r="H1028" s="509">
        <v>0</v>
      </c>
      <c r="I1028" s="509"/>
      <c r="J1028" s="508" t="s">
        <v>444</v>
      </c>
    </row>
    <row r="1029" spans="1:10" ht="21" customHeight="1">
      <c r="A1029" s="507" t="s">
        <v>21</v>
      </c>
      <c r="B1029" s="508" t="s">
        <v>443</v>
      </c>
      <c r="C1029" s="508" t="s">
        <v>397</v>
      </c>
      <c r="D1029" s="509"/>
      <c r="E1029" s="509"/>
      <c r="F1029" s="509"/>
      <c r="G1029" s="509"/>
      <c r="H1029" s="509">
        <v>8761</v>
      </c>
      <c r="I1029" s="509"/>
      <c r="J1029" s="508" t="s">
        <v>444</v>
      </c>
    </row>
    <row r="1030" spans="1:10" ht="21" customHeight="1">
      <c r="A1030" s="507" t="s">
        <v>21</v>
      </c>
      <c r="B1030" s="508" t="s">
        <v>445</v>
      </c>
      <c r="C1030" s="508" t="s">
        <v>397</v>
      </c>
      <c r="D1030" s="509"/>
      <c r="E1030" s="509"/>
      <c r="F1030" s="509"/>
      <c r="G1030" s="509"/>
      <c r="H1030" s="509">
        <v>6318943</v>
      </c>
      <c r="I1030" s="509"/>
      <c r="J1030" s="508" t="s">
        <v>444</v>
      </c>
    </row>
    <row r="1031" spans="1:10" ht="21" customHeight="1">
      <c r="A1031" s="507" t="s">
        <v>21</v>
      </c>
      <c r="B1031" s="508" t="s">
        <v>446</v>
      </c>
      <c r="C1031" s="508" t="s">
        <v>397</v>
      </c>
      <c r="D1031" s="509"/>
      <c r="E1031" s="509"/>
      <c r="F1031" s="509"/>
      <c r="G1031" s="509"/>
      <c r="H1031" s="509" t="s">
        <v>135</v>
      </c>
      <c r="I1031" s="509"/>
      <c r="J1031" s="508" t="s">
        <v>444</v>
      </c>
    </row>
    <row r="1032" spans="1:10" ht="21" customHeight="1">
      <c r="A1032" s="507" t="s">
        <v>21</v>
      </c>
      <c r="B1032" s="508" t="s">
        <v>447</v>
      </c>
      <c r="C1032" s="508" t="s">
        <v>397</v>
      </c>
      <c r="D1032" s="509"/>
      <c r="E1032" s="509"/>
      <c r="F1032" s="509"/>
      <c r="G1032" s="509"/>
      <c r="H1032" s="509" t="s">
        <v>135</v>
      </c>
      <c r="I1032" s="509"/>
      <c r="J1032" s="508" t="s">
        <v>444</v>
      </c>
    </row>
    <row r="1033" spans="1:10" ht="21" customHeight="1">
      <c r="A1033" s="507" t="s">
        <v>21</v>
      </c>
      <c r="B1033" s="508" t="s">
        <v>448</v>
      </c>
      <c r="C1033" s="508" t="s">
        <v>397</v>
      </c>
      <c r="D1033" s="509"/>
      <c r="E1033" s="509"/>
      <c r="F1033" s="509"/>
      <c r="G1033" s="509"/>
      <c r="H1033" s="509">
        <v>0.47</v>
      </c>
      <c r="I1033" s="509"/>
      <c r="J1033" s="508" t="s">
        <v>444</v>
      </c>
    </row>
    <row r="1034" spans="1:10" ht="21" customHeight="1">
      <c r="A1034" s="507" t="s">
        <v>21</v>
      </c>
      <c r="B1034" s="508" t="s">
        <v>449</v>
      </c>
      <c r="C1034" s="508" t="s">
        <v>397</v>
      </c>
      <c r="D1034" s="509"/>
      <c r="E1034" s="509"/>
      <c r="F1034" s="509"/>
      <c r="G1034" s="509"/>
      <c r="H1034" s="509">
        <v>0.46</v>
      </c>
      <c r="I1034" s="509"/>
      <c r="J1034" s="508" t="s">
        <v>444</v>
      </c>
    </row>
    <row r="1035" spans="1:10" ht="21" customHeight="1">
      <c r="A1035" s="507" t="s">
        <v>21</v>
      </c>
      <c r="B1035" s="508" t="s">
        <v>450</v>
      </c>
      <c r="C1035" s="508" t="s">
        <v>674</v>
      </c>
      <c r="D1035" s="509"/>
      <c r="E1035" s="509"/>
      <c r="F1035" s="509"/>
      <c r="G1035" s="509"/>
      <c r="H1035" s="509"/>
      <c r="I1035" s="509"/>
      <c r="J1035" s="508" t="s">
        <v>451</v>
      </c>
    </row>
    <row r="1036" spans="1:10" ht="21" customHeight="1">
      <c r="A1036" s="507" t="s">
        <v>21</v>
      </c>
      <c r="B1036" s="508" t="s">
        <v>452</v>
      </c>
      <c r="C1036" s="508" t="s">
        <v>674</v>
      </c>
      <c r="D1036" s="509"/>
      <c r="E1036" s="509"/>
      <c r="F1036" s="509"/>
      <c r="G1036" s="509"/>
      <c r="H1036" s="509"/>
      <c r="I1036" s="509"/>
      <c r="J1036" s="508" t="s">
        <v>451</v>
      </c>
    </row>
    <row r="1037" spans="1:10" ht="21" customHeight="1">
      <c r="A1037" s="507" t="s">
        <v>21</v>
      </c>
      <c r="B1037" s="508" t="s">
        <v>453</v>
      </c>
      <c r="C1037" s="508" t="s">
        <v>397</v>
      </c>
      <c r="D1037" s="509"/>
      <c r="E1037" s="509"/>
      <c r="F1037" s="509"/>
      <c r="G1037" s="509"/>
      <c r="H1037" s="509"/>
      <c r="I1037" s="509">
        <f>'Palo Seco'!D10</f>
        <v>5478665</v>
      </c>
      <c r="J1037" s="508" t="s">
        <v>451</v>
      </c>
    </row>
    <row r="1038" spans="1:10" ht="21" customHeight="1">
      <c r="A1038" s="507" t="s">
        <v>21</v>
      </c>
      <c r="B1038" s="508" t="s">
        <v>454</v>
      </c>
      <c r="C1038" s="508" t="s">
        <v>397</v>
      </c>
      <c r="D1038" s="509"/>
      <c r="E1038" s="509"/>
      <c r="F1038" s="509"/>
      <c r="G1038" s="509"/>
      <c r="H1038" s="509"/>
      <c r="I1038" s="509">
        <f>'Palo Seco'!E10</f>
        <v>6759249</v>
      </c>
      <c r="J1038" s="508" t="s">
        <v>451</v>
      </c>
    </row>
    <row r="1039" spans="1:10" ht="21" customHeight="1">
      <c r="A1039" s="507" t="s">
        <v>21</v>
      </c>
      <c r="B1039" s="508" t="s">
        <v>455</v>
      </c>
      <c r="C1039" s="508" t="s">
        <v>674</v>
      </c>
      <c r="D1039" s="509"/>
      <c r="E1039" s="509"/>
      <c r="F1039" s="509"/>
      <c r="G1039" s="509"/>
      <c r="H1039" s="509"/>
      <c r="I1039" s="509"/>
      <c r="J1039" s="508" t="s">
        <v>451</v>
      </c>
    </row>
    <row r="1040" spans="1:10" ht="21" customHeight="1">
      <c r="A1040" s="507" t="s">
        <v>21</v>
      </c>
      <c r="B1040" s="508" t="s">
        <v>456</v>
      </c>
      <c r="C1040" s="508" t="s">
        <v>674</v>
      </c>
      <c r="D1040" s="509"/>
      <c r="E1040" s="509"/>
      <c r="F1040" s="509"/>
      <c r="G1040" s="509"/>
      <c r="H1040" s="509"/>
      <c r="I1040" s="509"/>
      <c r="J1040" s="508" t="s">
        <v>451</v>
      </c>
    </row>
    <row r="1041" spans="1:10" ht="21" customHeight="1">
      <c r="A1041" s="507" t="s">
        <v>21</v>
      </c>
      <c r="B1041" s="508" t="s">
        <v>457</v>
      </c>
      <c r="C1041" s="508" t="s">
        <v>397</v>
      </c>
      <c r="D1041" s="509"/>
      <c r="E1041" s="509"/>
      <c r="F1041" s="509"/>
      <c r="G1041" s="509"/>
      <c r="H1041" s="509"/>
      <c r="I1041" s="509">
        <f>'Palo Seco'!H10</f>
        <v>0.45</v>
      </c>
      <c r="J1041" s="508" t="s">
        <v>451</v>
      </c>
    </row>
    <row r="1042" spans="1:10" ht="21" customHeight="1">
      <c r="A1042" s="507" t="s">
        <v>21</v>
      </c>
      <c r="B1042" s="508" t="s">
        <v>458</v>
      </c>
      <c r="C1042" s="508" t="s">
        <v>397</v>
      </c>
      <c r="D1042" s="509"/>
      <c r="E1042" s="509"/>
      <c r="F1042" s="509"/>
      <c r="G1042" s="509"/>
      <c r="H1042" s="509"/>
      <c r="I1042" s="509">
        <f>'Palo Seco'!I10</f>
        <v>0.45</v>
      </c>
      <c r="J1042" s="508" t="s">
        <v>451</v>
      </c>
    </row>
    <row r="1043" spans="1:10" ht="21" customHeight="1">
      <c r="A1043" s="507" t="s">
        <v>21</v>
      </c>
      <c r="B1043" s="508" t="s">
        <v>604</v>
      </c>
      <c r="C1043" s="508" t="s">
        <v>397</v>
      </c>
      <c r="D1043" s="509">
        <v>198463</v>
      </c>
      <c r="E1043" s="509"/>
      <c r="F1043" s="509"/>
      <c r="G1043" s="509"/>
      <c r="H1043" s="509"/>
      <c r="I1043" s="509"/>
      <c r="J1043" s="508"/>
    </row>
    <row r="1044" spans="1:10" ht="21" customHeight="1">
      <c r="A1044" s="507" t="s">
        <v>21</v>
      </c>
      <c r="B1044" s="508" t="s">
        <v>535</v>
      </c>
      <c r="C1044" s="508" t="s">
        <v>397</v>
      </c>
      <c r="D1044" s="509">
        <v>0</v>
      </c>
      <c r="E1044" s="509"/>
      <c r="F1044" s="509"/>
      <c r="G1044" s="509"/>
      <c r="H1044" s="509"/>
      <c r="I1044" s="509"/>
      <c r="J1044" s="508"/>
    </row>
    <row r="1045" spans="1:10" ht="21" customHeight="1">
      <c r="A1045" s="507" t="s">
        <v>21</v>
      </c>
      <c r="B1045" s="508" t="s">
        <v>670</v>
      </c>
      <c r="C1045" s="508" t="s">
        <v>397</v>
      </c>
      <c r="D1045" s="509">
        <v>0</v>
      </c>
      <c r="E1045" s="509"/>
      <c r="F1045" s="509"/>
      <c r="G1045" s="509"/>
      <c r="H1045" s="509"/>
      <c r="I1045" s="509"/>
      <c r="J1045" s="508"/>
    </row>
    <row r="1046" spans="1:10" ht="21" customHeight="1">
      <c r="A1046" s="507" t="s">
        <v>21</v>
      </c>
      <c r="B1046" s="508" t="s">
        <v>694</v>
      </c>
      <c r="C1046" s="508" t="s">
        <v>674</v>
      </c>
      <c r="D1046" s="509"/>
      <c r="E1046" s="509"/>
      <c r="F1046" s="509"/>
      <c r="G1046" s="509"/>
      <c r="H1046" s="509"/>
      <c r="I1046" s="509"/>
      <c r="J1046" s="508"/>
    </row>
    <row r="1047" spans="1:10" ht="21" customHeight="1">
      <c r="A1047" s="507" t="s">
        <v>21</v>
      </c>
      <c r="B1047" s="508" t="s">
        <v>762</v>
      </c>
      <c r="C1047" s="508" t="s">
        <v>397</v>
      </c>
      <c r="D1047" s="509">
        <v>1E-3</v>
      </c>
      <c r="E1047" s="509"/>
      <c r="F1047" s="509"/>
      <c r="G1047" s="509"/>
      <c r="H1047" s="509"/>
      <c r="I1047" s="509"/>
      <c r="J1047" s="508"/>
    </row>
    <row r="1048" spans="1:10" ht="21" customHeight="1">
      <c r="A1048" s="507" t="s">
        <v>21</v>
      </c>
      <c r="B1048" s="508" t="s">
        <v>869</v>
      </c>
      <c r="C1048" s="508" t="s">
        <v>674</v>
      </c>
      <c r="D1048" s="509"/>
      <c r="E1048" s="509"/>
      <c r="F1048" s="509"/>
      <c r="G1048" s="509"/>
      <c r="H1048" s="509"/>
      <c r="I1048" s="509"/>
      <c r="J1048" s="508"/>
    </row>
    <row r="1049" spans="1:10" ht="21" customHeight="1">
      <c r="A1049" s="507" t="s">
        <v>21</v>
      </c>
      <c r="B1049" s="508" t="s">
        <v>717</v>
      </c>
      <c r="C1049" s="508" t="s">
        <v>397</v>
      </c>
      <c r="D1049" s="509">
        <v>1E-3</v>
      </c>
      <c r="E1049" s="509"/>
      <c r="F1049" s="509"/>
      <c r="G1049" s="509"/>
      <c r="H1049" s="509"/>
      <c r="I1049" s="509"/>
      <c r="J1049" s="508"/>
    </row>
    <row r="1050" spans="1:10" ht="21" customHeight="1">
      <c r="A1050" s="507" t="s">
        <v>21</v>
      </c>
      <c r="B1050" s="508" t="s">
        <v>763</v>
      </c>
      <c r="C1050" s="508" t="s">
        <v>674</v>
      </c>
      <c r="D1050" s="509"/>
      <c r="E1050" s="509"/>
      <c r="F1050" s="509"/>
      <c r="G1050" s="509"/>
      <c r="H1050" s="509"/>
      <c r="I1050" s="509"/>
      <c r="J1050" s="508"/>
    </row>
    <row r="1051" spans="1:10" ht="21" customHeight="1">
      <c r="A1051" s="507" t="s">
        <v>21</v>
      </c>
      <c r="B1051" s="508" t="s">
        <v>493</v>
      </c>
      <c r="C1051" s="508" t="s">
        <v>397</v>
      </c>
      <c r="D1051" s="509"/>
      <c r="E1051" s="509">
        <v>80964</v>
      </c>
      <c r="F1051" s="509"/>
      <c r="G1051" s="509"/>
      <c r="H1051" s="509"/>
      <c r="I1051" s="509"/>
      <c r="J1051" s="508"/>
    </row>
    <row r="1052" spans="1:10" ht="21" customHeight="1">
      <c r="A1052" s="507" t="s">
        <v>21</v>
      </c>
      <c r="B1052" s="508" t="s">
        <v>494</v>
      </c>
      <c r="C1052" s="508" t="s">
        <v>397</v>
      </c>
      <c r="D1052" s="509"/>
      <c r="E1052" s="509">
        <v>0</v>
      </c>
      <c r="F1052" s="509"/>
      <c r="G1052" s="509"/>
      <c r="H1052" s="509"/>
      <c r="I1052" s="509"/>
      <c r="J1052" s="508"/>
    </row>
    <row r="1053" spans="1:10" ht="21" customHeight="1">
      <c r="A1053" s="507" t="s">
        <v>21</v>
      </c>
      <c r="B1053" s="508" t="s">
        <v>495</v>
      </c>
      <c r="C1053" s="508" t="s">
        <v>397</v>
      </c>
      <c r="D1053" s="509"/>
      <c r="E1053" s="509">
        <v>0</v>
      </c>
      <c r="F1053" s="509"/>
      <c r="G1053" s="509"/>
      <c r="H1053" s="509"/>
      <c r="I1053" s="509"/>
      <c r="J1053" s="508"/>
    </row>
    <row r="1054" spans="1:10" ht="21" customHeight="1">
      <c r="A1054" s="507" t="s">
        <v>21</v>
      </c>
      <c r="B1054" s="508" t="s">
        <v>496</v>
      </c>
      <c r="C1054" s="508" t="s">
        <v>397</v>
      </c>
      <c r="D1054" s="509"/>
      <c r="E1054" s="509">
        <v>0</v>
      </c>
      <c r="F1054" s="509"/>
      <c r="G1054" s="509"/>
      <c r="H1054" s="509"/>
      <c r="I1054" s="509"/>
      <c r="J1054" s="508"/>
    </row>
    <row r="1055" spans="1:10" ht="21" customHeight="1">
      <c r="A1055" s="507" t="s">
        <v>21</v>
      </c>
      <c r="B1055" s="508" t="s">
        <v>697</v>
      </c>
      <c r="C1055" s="508" t="s">
        <v>397</v>
      </c>
      <c r="D1055" s="509"/>
      <c r="E1055" s="509">
        <v>0.01</v>
      </c>
      <c r="F1055" s="509"/>
      <c r="G1055" s="509"/>
      <c r="H1055" s="509"/>
      <c r="I1055" s="509"/>
      <c r="J1055" s="508"/>
    </row>
    <row r="1056" spans="1:10" ht="21" customHeight="1">
      <c r="A1056" s="507" t="s">
        <v>21</v>
      </c>
      <c r="B1056" s="508" t="s">
        <v>698</v>
      </c>
      <c r="C1056" s="508" t="s">
        <v>397</v>
      </c>
      <c r="D1056" s="509"/>
      <c r="E1056" s="509">
        <v>0.01</v>
      </c>
      <c r="F1056" s="509"/>
      <c r="G1056" s="509"/>
      <c r="H1056" s="509"/>
      <c r="I1056" s="509"/>
      <c r="J1056" s="508"/>
    </row>
    <row r="1057" spans="1:10" ht="21" customHeight="1">
      <c r="A1057" s="507" t="s">
        <v>21</v>
      </c>
      <c r="B1057" s="508" t="s">
        <v>771</v>
      </c>
      <c r="C1057" s="508" t="s">
        <v>397</v>
      </c>
      <c r="D1057" s="509"/>
      <c r="E1057" s="509">
        <v>0.01</v>
      </c>
      <c r="F1057" s="509"/>
      <c r="G1057" s="509"/>
      <c r="H1057" s="509"/>
      <c r="I1057" s="509"/>
      <c r="J1057" s="508"/>
    </row>
    <row r="1058" spans="1:10" ht="21" customHeight="1">
      <c r="A1058" s="507" t="s">
        <v>21</v>
      </c>
      <c r="B1058" s="508" t="s">
        <v>772</v>
      </c>
      <c r="C1058" s="508" t="s">
        <v>397</v>
      </c>
      <c r="D1058" s="509"/>
      <c r="E1058" s="509">
        <v>0.01</v>
      </c>
      <c r="F1058" s="509"/>
      <c r="G1058" s="509"/>
      <c r="H1058" s="509"/>
      <c r="I1058" s="509"/>
      <c r="J1058" s="508"/>
    </row>
    <row r="1059" spans="1:10" ht="21" customHeight="1">
      <c r="A1059" s="507" t="s">
        <v>21</v>
      </c>
      <c r="B1059" s="508" t="s">
        <v>497</v>
      </c>
      <c r="C1059" s="508" t="s">
        <v>397</v>
      </c>
      <c r="D1059" s="509"/>
      <c r="E1059" s="509"/>
      <c r="F1059" s="509">
        <v>121550</v>
      </c>
      <c r="G1059" s="509"/>
      <c r="H1059" s="509"/>
      <c r="I1059" s="509"/>
      <c r="J1059" s="508"/>
    </row>
    <row r="1060" spans="1:10" ht="21" customHeight="1">
      <c r="A1060" s="507" t="s">
        <v>21</v>
      </c>
      <c r="B1060" s="508" t="s">
        <v>498</v>
      </c>
      <c r="C1060" s="508" t="s">
        <v>397</v>
      </c>
      <c r="D1060" s="509"/>
      <c r="E1060" s="509"/>
      <c r="F1060" s="509">
        <v>0</v>
      </c>
      <c r="G1060" s="509"/>
      <c r="H1060" s="509"/>
      <c r="I1060" s="509"/>
      <c r="J1060" s="508"/>
    </row>
    <row r="1061" spans="1:10" ht="21" customHeight="1">
      <c r="A1061" s="507" t="s">
        <v>21</v>
      </c>
      <c r="B1061" s="508" t="s">
        <v>499</v>
      </c>
      <c r="C1061" s="508" t="s">
        <v>397</v>
      </c>
      <c r="D1061" s="509"/>
      <c r="E1061" s="509"/>
      <c r="F1061" s="509">
        <v>0</v>
      </c>
      <c r="G1061" s="509"/>
      <c r="H1061" s="509"/>
      <c r="I1061" s="509"/>
      <c r="J1061" s="508"/>
    </row>
    <row r="1062" spans="1:10" ht="21" customHeight="1">
      <c r="A1062" s="507" t="s">
        <v>21</v>
      </c>
      <c r="B1062" s="508" t="s">
        <v>500</v>
      </c>
      <c r="C1062" s="508" t="s">
        <v>397</v>
      </c>
      <c r="D1062" s="509"/>
      <c r="E1062" s="509"/>
      <c r="F1062" s="509">
        <v>0</v>
      </c>
      <c r="G1062" s="509"/>
      <c r="H1062" s="509"/>
      <c r="I1062" s="509"/>
      <c r="J1062" s="508"/>
    </row>
    <row r="1063" spans="1:10" ht="21" customHeight="1">
      <c r="A1063" s="507" t="s">
        <v>21</v>
      </c>
      <c r="B1063" s="508" t="s">
        <v>701</v>
      </c>
      <c r="C1063" s="508" t="s">
        <v>397</v>
      </c>
      <c r="D1063" s="509"/>
      <c r="E1063" s="509"/>
      <c r="F1063" s="509">
        <v>1E-3</v>
      </c>
      <c r="G1063" s="509"/>
      <c r="H1063" s="509"/>
      <c r="I1063" s="509"/>
      <c r="J1063" s="508"/>
    </row>
    <row r="1064" spans="1:10" ht="21" customHeight="1">
      <c r="A1064" s="507" t="s">
        <v>21</v>
      </c>
      <c r="B1064" s="508" t="s">
        <v>702</v>
      </c>
      <c r="C1064" s="508" t="s">
        <v>397</v>
      </c>
      <c r="D1064" s="509"/>
      <c r="E1064" s="509"/>
      <c r="F1064" s="509">
        <v>1E-3</v>
      </c>
      <c r="G1064" s="509"/>
      <c r="H1064" s="509"/>
      <c r="I1064" s="509"/>
      <c r="J1064" s="508"/>
    </row>
    <row r="1065" spans="1:10" ht="21" customHeight="1">
      <c r="A1065" s="507" t="s">
        <v>21</v>
      </c>
      <c r="B1065" s="508" t="s">
        <v>780</v>
      </c>
      <c r="C1065" s="508" t="s">
        <v>397</v>
      </c>
      <c r="D1065" s="509"/>
      <c r="E1065" s="509"/>
      <c r="F1065" s="509">
        <v>1E-3</v>
      </c>
      <c r="G1065" s="509"/>
      <c r="H1065" s="509"/>
      <c r="I1065" s="509"/>
      <c r="J1065" s="508"/>
    </row>
    <row r="1066" spans="1:10" ht="21" customHeight="1">
      <c r="A1066" s="507" t="s">
        <v>21</v>
      </c>
      <c r="B1066" s="508" t="s">
        <v>781</v>
      </c>
      <c r="C1066" s="508" t="s">
        <v>397</v>
      </c>
      <c r="D1066" s="509"/>
      <c r="E1066" s="509"/>
      <c r="F1066" s="509">
        <v>0</v>
      </c>
      <c r="G1066" s="509"/>
      <c r="H1066" s="509"/>
      <c r="I1066" s="509"/>
      <c r="J1066" s="508"/>
    </row>
    <row r="1067" spans="1:10" ht="21" customHeight="1">
      <c r="A1067" s="507" t="s">
        <v>21</v>
      </c>
      <c r="B1067" s="508" t="s">
        <v>501</v>
      </c>
      <c r="C1067" s="508" t="s">
        <v>397</v>
      </c>
      <c r="D1067" s="509"/>
      <c r="E1067" s="509"/>
      <c r="F1067" s="509"/>
      <c r="G1067" s="509">
        <v>1226779</v>
      </c>
      <c r="H1067" s="509"/>
      <c r="I1067" s="509"/>
      <c r="J1067" s="508"/>
    </row>
    <row r="1068" spans="1:10" ht="21" customHeight="1">
      <c r="A1068" s="507" t="s">
        <v>21</v>
      </c>
      <c r="B1068" s="508" t="s">
        <v>502</v>
      </c>
      <c r="C1068" s="508" t="s">
        <v>397</v>
      </c>
      <c r="D1068" s="509"/>
      <c r="E1068" s="509"/>
      <c r="F1068" s="509"/>
      <c r="G1068" s="509">
        <v>0</v>
      </c>
      <c r="H1068" s="509"/>
      <c r="I1068" s="509"/>
      <c r="J1068" s="508"/>
    </row>
    <row r="1069" spans="1:10" ht="21" customHeight="1">
      <c r="A1069" s="507" t="s">
        <v>21</v>
      </c>
      <c r="B1069" s="508" t="s">
        <v>503</v>
      </c>
      <c r="C1069" s="508" t="s">
        <v>397</v>
      </c>
      <c r="D1069" s="509"/>
      <c r="E1069" s="509"/>
      <c r="F1069" s="509"/>
      <c r="G1069" s="509">
        <v>0</v>
      </c>
      <c r="H1069" s="509"/>
      <c r="I1069" s="509"/>
      <c r="J1069" s="508"/>
    </row>
    <row r="1070" spans="1:10" ht="21" customHeight="1">
      <c r="A1070" s="507" t="s">
        <v>21</v>
      </c>
      <c r="B1070" s="508" t="s">
        <v>504</v>
      </c>
      <c r="C1070" s="508" t="s">
        <v>397</v>
      </c>
      <c r="D1070" s="509"/>
      <c r="E1070" s="509"/>
      <c r="F1070" s="509"/>
      <c r="G1070" s="509">
        <v>0</v>
      </c>
      <c r="H1070" s="509"/>
      <c r="I1070" s="509"/>
      <c r="J1070" s="508"/>
    </row>
    <row r="1071" spans="1:10" ht="21" customHeight="1">
      <c r="A1071" s="507" t="s">
        <v>21</v>
      </c>
      <c r="B1071" s="508" t="s">
        <v>705</v>
      </c>
      <c r="C1071" s="508" t="s">
        <v>397</v>
      </c>
      <c r="D1071" s="509"/>
      <c r="E1071" s="509"/>
      <c r="F1071" s="509"/>
      <c r="G1071" s="509">
        <v>1E-3</v>
      </c>
      <c r="H1071" s="509"/>
      <c r="I1071" s="509"/>
      <c r="J1071" s="508"/>
    </row>
    <row r="1072" spans="1:10" ht="21" customHeight="1">
      <c r="A1072" s="507" t="s">
        <v>21</v>
      </c>
      <c r="B1072" s="508" t="s">
        <v>706</v>
      </c>
      <c r="C1072" s="508" t="s">
        <v>397</v>
      </c>
      <c r="D1072" s="509"/>
      <c r="E1072" s="509"/>
      <c r="F1072" s="509"/>
      <c r="G1072" s="509">
        <v>1E-3</v>
      </c>
      <c r="H1072" s="509"/>
      <c r="I1072" s="509"/>
      <c r="J1072" s="508"/>
    </row>
    <row r="1073" spans="1:10" ht="21" customHeight="1">
      <c r="A1073" s="507" t="s">
        <v>21</v>
      </c>
      <c r="B1073" s="508" t="s">
        <v>605</v>
      </c>
      <c r="C1073" s="508" t="s">
        <v>397</v>
      </c>
      <c r="D1073" s="509"/>
      <c r="E1073" s="509"/>
      <c r="F1073" s="509"/>
      <c r="G1073" s="509">
        <v>0</v>
      </c>
      <c r="H1073" s="509"/>
      <c r="I1073" s="509"/>
      <c r="J1073" s="508"/>
    </row>
    <row r="1074" spans="1:10" ht="21" customHeight="1">
      <c r="A1074" s="507" t="s">
        <v>21</v>
      </c>
      <c r="B1074" s="508" t="s">
        <v>789</v>
      </c>
      <c r="C1074" s="508" t="s">
        <v>397</v>
      </c>
      <c r="D1074" s="509"/>
      <c r="E1074" s="509"/>
      <c r="F1074" s="509"/>
      <c r="G1074" s="509">
        <v>1E-3</v>
      </c>
      <c r="H1074" s="509"/>
      <c r="I1074" s="509"/>
      <c r="J1074" s="508"/>
    </row>
    <row r="1075" spans="1:10" ht="21" customHeight="1">
      <c r="A1075" s="507" t="s">
        <v>21</v>
      </c>
      <c r="B1075" s="508" t="s">
        <v>505</v>
      </c>
      <c r="C1075" s="508" t="s">
        <v>397</v>
      </c>
      <c r="D1075" s="509"/>
      <c r="E1075" s="509"/>
      <c r="F1075" s="509"/>
      <c r="G1075" s="509"/>
      <c r="H1075" s="509">
        <v>287954</v>
      </c>
      <c r="I1075" s="509"/>
      <c r="J1075" s="508"/>
    </row>
    <row r="1076" spans="1:10" ht="21" customHeight="1">
      <c r="A1076" s="507" t="s">
        <v>21</v>
      </c>
      <c r="B1076" s="508" t="s">
        <v>506</v>
      </c>
      <c r="C1076" s="508" t="s">
        <v>397</v>
      </c>
      <c r="D1076" s="509"/>
      <c r="E1076" s="509"/>
      <c r="F1076" s="509"/>
      <c r="G1076" s="509"/>
      <c r="H1076" s="509">
        <v>0</v>
      </c>
      <c r="I1076" s="509"/>
      <c r="J1076" s="508"/>
    </row>
    <row r="1077" spans="1:10" ht="21" customHeight="1">
      <c r="A1077" s="507" t="s">
        <v>21</v>
      </c>
      <c r="B1077" s="508" t="s">
        <v>507</v>
      </c>
      <c r="C1077" s="508" t="s">
        <v>397</v>
      </c>
      <c r="D1077" s="509"/>
      <c r="E1077" s="509"/>
      <c r="F1077" s="509"/>
      <c r="G1077" s="509"/>
      <c r="H1077" s="509">
        <v>0</v>
      </c>
      <c r="I1077" s="509"/>
      <c r="J1077" s="508"/>
    </row>
    <row r="1078" spans="1:10" ht="21" customHeight="1">
      <c r="A1078" s="507" t="s">
        <v>21</v>
      </c>
      <c r="B1078" s="508" t="s">
        <v>508</v>
      </c>
      <c r="C1078" s="508" t="s">
        <v>397</v>
      </c>
      <c r="D1078" s="509"/>
      <c r="E1078" s="509"/>
      <c r="F1078" s="509"/>
      <c r="G1078" s="509"/>
      <c r="H1078" s="509">
        <v>0</v>
      </c>
      <c r="I1078" s="509"/>
      <c r="J1078" s="508"/>
    </row>
    <row r="1079" spans="1:10" ht="21" customHeight="1">
      <c r="A1079" s="507" t="s">
        <v>21</v>
      </c>
      <c r="B1079" s="508" t="s">
        <v>708</v>
      </c>
      <c r="C1079" s="508" t="s">
        <v>397</v>
      </c>
      <c r="D1079" s="509"/>
      <c r="E1079" s="509"/>
      <c r="F1079" s="509"/>
      <c r="G1079" s="509"/>
      <c r="H1079" s="509">
        <v>1E-3</v>
      </c>
      <c r="I1079" s="509"/>
      <c r="J1079" s="508"/>
    </row>
    <row r="1080" spans="1:10" ht="21" customHeight="1">
      <c r="A1080" s="507" t="s">
        <v>21</v>
      </c>
      <c r="B1080" s="508" t="s">
        <v>709</v>
      </c>
      <c r="C1080" s="508" t="s">
        <v>397</v>
      </c>
      <c r="D1080" s="509"/>
      <c r="E1080" s="509"/>
      <c r="F1080" s="509"/>
      <c r="G1080" s="509"/>
      <c r="H1080" s="509">
        <v>1E-3</v>
      </c>
      <c r="I1080" s="509"/>
      <c r="J1080" s="508"/>
    </row>
    <row r="1081" spans="1:10" ht="21" customHeight="1">
      <c r="A1081" s="507" t="s">
        <v>21</v>
      </c>
      <c r="B1081" s="508" t="s">
        <v>795</v>
      </c>
      <c r="C1081" s="508" t="s">
        <v>397</v>
      </c>
      <c r="D1081" s="509"/>
      <c r="E1081" s="509"/>
      <c r="F1081" s="509"/>
      <c r="G1081" s="509"/>
      <c r="H1081" s="509">
        <v>1E-3</v>
      </c>
      <c r="I1081" s="509"/>
      <c r="J1081" s="508"/>
    </row>
    <row r="1082" spans="1:10" ht="21" customHeight="1">
      <c r="A1082" s="507" t="s">
        <v>21</v>
      </c>
      <c r="B1082" s="508" t="s">
        <v>796</v>
      </c>
      <c r="C1082" s="508" t="s">
        <v>397</v>
      </c>
      <c r="D1082" s="509"/>
      <c r="E1082" s="509"/>
      <c r="F1082" s="509"/>
      <c r="G1082" s="509"/>
      <c r="H1082" s="509">
        <v>0</v>
      </c>
      <c r="I1082" s="509"/>
      <c r="J1082" s="508"/>
    </row>
    <row r="1083" spans="1:10" ht="21" customHeight="1">
      <c r="A1083" s="507" t="s">
        <v>21</v>
      </c>
      <c r="B1083" s="508" t="s">
        <v>509</v>
      </c>
      <c r="C1083" s="508" t="s">
        <v>397</v>
      </c>
      <c r="D1083" s="509"/>
      <c r="E1083" s="509"/>
      <c r="F1083" s="509"/>
      <c r="G1083" s="509"/>
      <c r="H1083" s="509"/>
      <c r="I1083" s="509">
        <f>'Palo Seco'!B28</f>
        <v>473204</v>
      </c>
      <c r="J1083" s="508"/>
    </row>
    <row r="1084" spans="1:10" ht="21" customHeight="1">
      <c r="A1084" s="507" t="s">
        <v>21</v>
      </c>
      <c r="B1084" s="508" t="s">
        <v>510</v>
      </c>
      <c r="C1084" s="508" t="s">
        <v>397</v>
      </c>
      <c r="D1084" s="509"/>
      <c r="E1084" s="509"/>
      <c r="F1084" s="509"/>
      <c r="G1084" s="509"/>
      <c r="H1084" s="509"/>
      <c r="I1084" s="509">
        <f>'Palo Seco'!C28</f>
        <v>0</v>
      </c>
      <c r="J1084" s="508"/>
    </row>
    <row r="1085" spans="1:10" ht="21" customHeight="1">
      <c r="A1085" s="507" t="s">
        <v>21</v>
      </c>
      <c r="B1085" s="508" t="s">
        <v>511</v>
      </c>
      <c r="C1085" s="508" t="s">
        <v>397</v>
      </c>
      <c r="D1085" s="509"/>
      <c r="E1085" s="509"/>
      <c r="F1085" s="509"/>
      <c r="G1085" s="509"/>
      <c r="H1085" s="509"/>
      <c r="I1085" s="509">
        <f>'Palo Seco'!D28</f>
        <v>0</v>
      </c>
      <c r="J1085" s="508"/>
    </row>
    <row r="1086" spans="1:10" ht="21" customHeight="1">
      <c r="A1086" s="507" t="s">
        <v>21</v>
      </c>
      <c r="B1086" s="508" t="s">
        <v>512</v>
      </c>
      <c r="C1086" s="508" t="s">
        <v>397</v>
      </c>
      <c r="D1086" s="509"/>
      <c r="E1086" s="509"/>
      <c r="F1086" s="509"/>
      <c r="G1086" s="509"/>
      <c r="H1086" s="509"/>
      <c r="I1086" s="509">
        <f>'Palo Seco'!E28</f>
        <v>0</v>
      </c>
      <c r="J1086" s="508"/>
    </row>
    <row r="1087" spans="1:10" ht="21" customHeight="1">
      <c r="A1087" s="507" t="s">
        <v>21</v>
      </c>
      <c r="B1087" s="508" t="s">
        <v>569</v>
      </c>
      <c r="C1087" s="508" t="s">
        <v>397</v>
      </c>
      <c r="D1087" s="509"/>
      <c r="E1087" s="509"/>
      <c r="F1087" s="509"/>
      <c r="G1087" s="509"/>
      <c r="H1087" s="509"/>
      <c r="I1087" s="509">
        <f>'Palo Seco'!F28</f>
        <v>0.01</v>
      </c>
      <c r="J1087" s="508"/>
    </row>
    <row r="1088" spans="1:10" ht="21" customHeight="1">
      <c r="A1088" s="507" t="s">
        <v>21</v>
      </c>
      <c r="B1088" s="508" t="s">
        <v>536</v>
      </c>
      <c r="C1088" s="508" t="s">
        <v>397</v>
      </c>
      <c r="D1088" s="509"/>
      <c r="E1088" s="509"/>
      <c r="F1088" s="509"/>
      <c r="G1088" s="509"/>
      <c r="H1088" s="509"/>
      <c r="I1088" s="509">
        <f>'Palo Seco'!G28</f>
        <v>0.01</v>
      </c>
      <c r="J1088" s="508"/>
    </row>
    <row r="1089" spans="1:10" ht="21" customHeight="1">
      <c r="A1089" s="507" t="s">
        <v>21</v>
      </c>
      <c r="B1089" s="508" t="s">
        <v>804</v>
      </c>
      <c r="C1089" s="508" t="s">
        <v>397</v>
      </c>
      <c r="D1089" s="509"/>
      <c r="E1089" s="509"/>
      <c r="F1089" s="509"/>
      <c r="G1089" s="509"/>
      <c r="H1089" s="509"/>
      <c r="I1089" s="509">
        <f>'Palo Seco'!H28</f>
        <v>0.01</v>
      </c>
      <c r="J1089" s="508"/>
    </row>
    <row r="1090" spans="1:10" ht="21" customHeight="1">
      <c r="A1090" s="507" t="s">
        <v>21</v>
      </c>
      <c r="B1090" s="508" t="s">
        <v>805</v>
      </c>
      <c r="C1090" s="508" t="s">
        <v>397</v>
      </c>
      <c r="D1090" s="509"/>
      <c r="E1090" s="509"/>
      <c r="F1090" s="509"/>
      <c r="G1090" s="509"/>
      <c r="H1090" s="509"/>
      <c r="I1090" s="509">
        <f>'Palo Seco'!I28</f>
        <v>0.01</v>
      </c>
      <c r="J1090" s="508"/>
    </row>
    <row r="1091" spans="1:10" ht="21" customHeight="1">
      <c r="A1091" s="507" t="s">
        <v>21</v>
      </c>
      <c r="B1091" s="508" t="s">
        <v>517</v>
      </c>
      <c r="C1091" s="508" t="s">
        <v>397</v>
      </c>
      <c r="D1091" s="509">
        <v>154280</v>
      </c>
      <c r="E1091" s="509"/>
      <c r="F1091" s="509"/>
      <c r="G1091" s="509"/>
      <c r="H1091" s="509"/>
      <c r="I1091" s="509"/>
      <c r="J1091" s="508"/>
    </row>
    <row r="1092" spans="1:10" ht="21" customHeight="1">
      <c r="A1092" s="507" t="s">
        <v>21</v>
      </c>
      <c r="B1092" s="508" t="s">
        <v>518</v>
      </c>
      <c r="C1092" s="508" t="s">
        <v>397</v>
      </c>
      <c r="D1092" s="509">
        <v>142831</v>
      </c>
      <c r="E1092" s="509"/>
      <c r="F1092" s="509"/>
      <c r="G1092" s="509"/>
      <c r="H1092" s="509"/>
      <c r="I1092" s="509"/>
      <c r="J1092" s="508"/>
    </row>
    <row r="1093" spans="1:10" ht="21" customHeight="1">
      <c r="A1093" s="507" t="s">
        <v>21</v>
      </c>
      <c r="B1093" s="508" t="s">
        <v>815</v>
      </c>
      <c r="C1093" s="508" t="s">
        <v>397</v>
      </c>
      <c r="D1093" s="509">
        <v>160592</v>
      </c>
      <c r="E1093" s="509"/>
      <c r="F1093" s="509"/>
      <c r="G1093" s="509"/>
      <c r="H1093" s="509"/>
      <c r="I1093" s="509"/>
      <c r="J1093" s="508"/>
    </row>
    <row r="1094" spans="1:10" ht="21" customHeight="1">
      <c r="A1094" s="507" t="s">
        <v>21</v>
      </c>
      <c r="B1094" s="508" t="s">
        <v>816</v>
      </c>
      <c r="C1094" s="508" t="s">
        <v>411</v>
      </c>
      <c r="D1094" s="509">
        <f>SUM($D$1091,$D$1092,$D$1093)</f>
        <v>457703</v>
      </c>
      <c r="E1094" s="509"/>
      <c r="F1094" s="509"/>
      <c r="G1094" s="509"/>
      <c r="H1094" s="509"/>
      <c r="I1094" s="509"/>
      <c r="J1094" s="508"/>
    </row>
    <row r="1095" spans="1:10" ht="21" customHeight="1">
      <c r="A1095" s="507" t="s">
        <v>21</v>
      </c>
      <c r="B1095" s="508" t="s">
        <v>870</v>
      </c>
      <c r="C1095" s="508" t="s">
        <v>674</v>
      </c>
      <c r="D1095" s="509"/>
      <c r="E1095" s="509"/>
      <c r="F1095" s="509"/>
      <c r="G1095" s="509"/>
      <c r="H1095" s="509"/>
      <c r="I1095" s="509"/>
      <c r="J1095" s="508"/>
    </row>
    <row r="1096" spans="1:10" ht="21" customHeight="1">
      <c r="A1096" s="507" t="s">
        <v>21</v>
      </c>
      <c r="B1096" s="508" t="s">
        <v>871</v>
      </c>
      <c r="C1096" s="508" t="s">
        <v>674</v>
      </c>
      <c r="D1096" s="509"/>
      <c r="E1096" s="509"/>
      <c r="F1096" s="509"/>
      <c r="G1096" s="509"/>
      <c r="H1096" s="509"/>
      <c r="I1096" s="509"/>
      <c r="J1096" s="508"/>
    </row>
    <row r="1097" spans="1:10" ht="21" customHeight="1">
      <c r="A1097" s="507" t="s">
        <v>21</v>
      </c>
      <c r="B1097" s="508" t="s">
        <v>872</v>
      </c>
      <c r="C1097" s="508" t="s">
        <v>674</v>
      </c>
      <c r="D1097" s="509"/>
      <c r="E1097" s="509"/>
      <c r="F1097" s="509"/>
      <c r="G1097" s="509"/>
      <c r="H1097" s="509"/>
      <c r="I1097" s="509"/>
      <c r="J1097" s="508"/>
    </row>
    <row r="1098" spans="1:10" ht="21" customHeight="1">
      <c r="A1098" s="507" t="s">
        <v>21</v>
      </c>
      <c r="B1098" s="508" t="s">
        <v>873</v>
      </c>
      <c r="C1098" s="508" t="s">
        <v>411</v>
      </c>
      <c r="D1098" s="509">
        <f>SUM($D$1095,$D$1096,$D$1097)</f>
        <v>0</v>
      </c>
      <c r="E1098" s="509"/>
      <c r="F1098" s="509"/>
      <c r="G1098" s="509"/>
      <c r="H1098" s="509"/>
      <c r="I1098" s="509"/>
      <c r="J1098" s="508"/>
    </row>
    <row r="1099" spans="1:10" ht="21" customHeight="1">
      <c r="A1099" s="507" t="s">
        <v>21</v>
      </c>
      <c r="B1099" s="508" t="s">
        <v>519</v>
      </c>
      <c r="C1099" s="508" t="s">
        <v>397</v>
      </c>
      <c r="D1099" s="509"/>
      <c r="E1099" s="509">
        <v>155686</v>
      </c>
      <c r="F1099" s="509"/>
      <c r="G1099" s="509"/>
      <c r="H1099" s="509"/>
      <c r="I1099" s="509"/>
      <c r="J1099" s="508"/>
    </row>
    <row r="1100" spans="1:10" ht="21" customHeight="1">
      <c r="A1100" s="507" t="s">
        <v>21</v>
      </c>
      <c r="B1100" s="508" t="s">
        <v>520</v>
      </c>
      <c r="C1100" s="508" t="s">
        <v>397</v>
      </c>
      <c r="D1100" s="509"/>
      <c r="E1100" s="509">
        <v>3312</v>
      </c>
      <c r="F1100" s="509"/>
      <c r="G1100" s="509"/>
      <c r="H1100" s="509"/>
      <c r="I1100" s="509"/>
      <c r="J1100" s="508"/>
    </row>
    <row r="1101" spans="1:10" ht="21" customHeight="1">
      <c r="A1101" s="507" t="s">
        <v>21</v>
      </c>
      <c r="B1101" s="508" t="s">
        <v>817</v>
      </c>
      <c r="C1101" s="508" t="s">
        <v>397</v>
      </c>
      <c r="D1101" s="509"/>
      <c r="E1101" s="509">
        <v>4510</v>
      </c>
      <c r="F1101" s="509"/>
      <c r="G1101" s="509"/>
      <c r="H1101" s="509"/>
      <c r="I1101" s="509"/>
      <c r="J1101" s="508"/>
    </row>
    <row r="1102" spans="1:10" ht="21" customHeight="1">
      <c r="A1102" s="507" t="s">
        <v>21</v>
      </c>
      <c r="B1102" s="508" t="s">
        <v>818</v>
      </c>
      <c r="C1102" s="508" t="s">
        <v>411</v>
      </c>
      <c r="D1102" s="509"/>
      <c r="E1102" s="509">
        <f>SUM($E$1099,$E$1100,$E$1101)</f>
        <v>163508</v>
      </c>
      <c r="F1102" s="509"/>
      <c r="G1102" s="509"/>
      <c r="H1102" s="509"/>
      <c r="I1102" s="509"/>
      <c r="J1102" s="508"/>
    </row>
    <row r="1103" spans="1:10" ht="21" customHeight="1">
      <c r="A1103" s="507" t="s">
        <v>21</v>
      </c>
      <c r="B1103" s="508" t="s">
        <v>874</v>
      </c>
      <c r="C1103" s="508" t="s">
        <v>397</v>
      </c>
      <c r="D1103" s="509"/>
      <c r="E1103" s="509">
        <v>0</v>
      </c>
      <c r="F1103" s="509"/>
      <c r="G1103" s="509"/>
      <c r="H1103" s="509"/>
      <c r="I1103" s="509"/>
      <c r="J1103" s="508"/>
    </row>
    <row r="1104" spans="1:10" ht="21" customHeight="1">
      <c r="A1104" s="507" t="s">
        <v>21</v>
      </c>
      <c r="B1104" s="508" t="s">
        <v>875</v>
      </c>
      <c r="C1104" s="508" t="s">
        <v>397</v>
      </c>
      <c r="D1104" s="509"/>
      <c r="E1104" s="509">
        <v>0</v>
      </c>
      <c r="F1104" s="509"/>
      <c r="G1104" s="509"/>
      <c r="H1104" s="509"/>
      <c r="I1104" s="509"/>
      <c r="J1104" s="508"/>
    </row>
    <row r="1105" spans="1:10" ht="21" customHeight="1">
      <c r="A1105" s="507" t="s">
        <v>21</v>
      </c>
      <c r="B1105" s="508" t="s">
        <v>876</v>
      </c>
      <c r="C1105" s="508" t="s">
        <v>397</v>
      </c>
      <c r="D1105" s="509"/>
      <c r="E1105" s="509">
        <v>0</v>
      </c>
      <c r="F1105" s="509"/>
      <c r="G1105" s="509"/>
      <c r="H1105" s="509"/>
      <c r="I1105" s="509"/>
      <c r="J1105" s="508"/>
    </row>
    <row r="1106" spans="1:10" ht="21" customHeight="1">
      <c r="A1106" s="507" t="s">
        <v>21</v>
      </c>
      <c r="B1106" s="508" t="s">
        <v>877</v>
      </c>
      <c r="C1106" s="508" t="s">
        <v>411</v>
      </c>
      <c r="D1106" s="509"/>
      <c r="E1106" s="509">
        <f>SUM($E$1103,$E$1104,$E$1105)</f>
        <v>0</v>
      </c>
      <c r="F1106" s="509"/>
      <c r="G1106" s="509"/>
      <c r="H1106" s="509"/>
      <c r="I1106" s="509"/>
      <c r="J1106" s="508"/>
    </row>
    <row r="1107" spans="1:10" ht="21" customHeight="1">
      <c r="A1107" s="507" t="s">
        <v>21</v>
      </c>
      <c r="B1107" s="508" t="s">
        <v>521</v>
      </c>
      <c r="C1107" s="508" t="s">
        <v>397</v>
      </c>
      <c r="D1107" s="509"/>
      <c r="E1107" s="509"/>
      <c r="F1107" s="509">
        <v>90389</v>
      </c>
      <c r="G1107" s="509"/>
      <c r="H1107" s="509"/>
      <c r="I1107" s="509"/>
      <c r="J1107" s="508"/>
    </row>
    <row r="1108" spans="1:10" ht="21" customHeight="1">
      <c r="A1108" s="507" t="s">
        <v>21</v>
      </c>
      <c r="B1108" s="508" t="s">
        <v>522</v>
      </c>
      <c r="C1108" s="508" t="s">
        <v>397</v>
      </c>
      <c r="D1108" s="509"/>
      <c r="E1108" s="509"/>
      <c r="F1108" s="509">
        <v>0</v>
      </c>
      <c r="G1108" s="509"/>
      <c r="H1108" s="509"/>
      <c r="I1108" s="509"/>
      <c r="J1108" s="508"/>
    </row>
    <row r="1109" spans="1:10" ht="21" customHeight="1">
      <c r="A1109" s="507" t="s">
        <v>21</v>
      </c>
      <c r="B1109" s="508" t="s">
        <v>819</v>
      </c>
      <c r="C1109" s="508" t="s">
        <v>397</v>
      </c>
      <c r="D1109" s="509"/>
      <c r="E1109" s="509"/>
      <c r="F1109" s="509">
        <v>52865</v>
      </c>
      <c r="G1109" s="509"/>
      <c r="H1109" s="509"/>
      <c r="I1109" s="509"/>
      <c r="J1109" s="508"/>
    </row>
    <row r="1110" spans="1:10" ht="21" customHeight="1">
      <c r="A1110" s="507" t="s">
        <v>21</v>
      </c>
      <c r="B1110" s="508" t="s">
        <v>623</v>
      </c>
      <c r="C1110" s="508" t="s">
        <v>411</v>
      </c>
      <c r="D1110" s="509"/>
      <c r="E1110" s="509"/>
      <c r="F1110" s="509">
        <f>SUM($F$1107,$F$1108,$F$1109)</f>
        <v>143254</v>
      </c>
      <c r="G1110" s="509"/>
      <c r="H1110" s="509"/>
      <c r="I1110" s="509"/>
      <c r="J1110" s="508"/>
    </row>
    <row r="1111" spans="1:10" ht="21" customHeight="1">
      <c r="A1111" s="507" t="s">
        <v>21</v>
      </c>
      <c r="B1111" s="508" t="s">
        <v>878</v>
      </c>
      <c r="C1111" s="508" t="s">
        <v>674</v>
      </c>
      <c r="D1111" s="509"/>
      <c r="E1111" s="509"/>
      <c r="F1111" s="509"/>
      <c r="G1111" s="509"/>
      <c r="H1111" s="509"/>
      <c r="I1111" s="509"/>
      <c r="J1111" s="508"/>
    </row>
    <row r="1112" spans="1:10" ht="21" customHeight="1">
      <c r="A1112" s="507" t="s">
        <v>21</v>
      </c>
      <c r="B1112" s="508" t="s">
        <v>879</v>
      </c>
      <c r="C1112" s="508" t="s">
        <v>674</v>
      </c>
      <c r="D1112" s="509"/>
      <c r="E1112" s="509"/>
      <c r="F1112" s="509"/>
      <c r="G1112" s="509"/>
      <c r="H1112" s="509"/>
      <c r="I1112" s="509"/>
      <c r="J1112" s="508"/>
    </row>
    <row r="1113" spans="1:10" ht="21" customHeight="1">
      <c r="A1113" s="507" t="s">
        <v>21</v>
      </c>
      <c r="B1113" s="508" t="s">
        <v>624</v>
      </c>
      <c r="C1113" s="508" t="s">
        <v>674</v>
      </c>
      <c r="D1113" s="509"/>
      <c r="E1113" s="509"/>
      <c r="F1113" s="509"/>
      <c r="G1113" s="509"/>
      <c r="H1113" s="509"/>
      <c r="I1113" s="509"/>
      <c r="J1113" s="508"/>
    </row>
    <row r="1114" spans="1:10" ht="21" customHeight="1">
      <c r="A1114" s="507" t="s">
        <v>21</v>
      </c>
      <c r="B1114" s="508" t="s">
        <v>880</v>
      </c>
      <c r="C1114" s="508" t="s">
        <v>411</v>
      </c>
      <c r="D1114" s="509"/>
      <c r="E1114" s="509"/>
      <c r="F1114" s="509">
        <f>SUM($F$1111,$F$1112,$F$1113)</f>
        <v>0</v>
      </c>
      <c r="G1114" s="509"/>
      <c r="H1114" s="509"/>
      <c r="I1114" s="509"/>
      <c r="J1114" s="508"/>
    </row>
    <row r="1115" spans="1:10" ht="21" customHeight="1">
      <c r="A1115" s="507" t="s">
        <v>21</v>
      </c>
      <c r="B1115" s="508" t="s">
        <v>523</v>
      </c>
      <c r="C1115" s="508" t="s">
        <v>397</v>
      </c>
      <c r="D1115" s="509"/>
      <c r="E1115" s="509"/>
      <c r="F1115" s="509"/>
      <c r="G1115" s="509">
        <v>1190253</v>
      </c>
      <c r="H1115" s="509"/>
      <c r="I1115" s="509"/>
      <c r="J1115" s="508"/>
    </row>
    <row r="1116" spans="1:10" ht="21" customHeight="1">
      <c r="A1116" s="507" t="s">
        <v>21</v>
      </c>
      <c r="B1116" s="508" t="s">
        <v>524</v>
      </c>
      <c r="C1116" s="508" t="s">
        <v>397</v>
      </c>
      <c r="D1116" s="509"/>
      <c r="E1116" s="509"/>
      <c r="F1116" s="509"/>
      <c r="G1116" s="509">
        <v>617908</v>
      </c>
      <c r="H1116" s="509"/>
      <c r="I1116" s="509"/>
      <c r="J1116" s="508"/>
    </row>
    <row r="1117" spans="1:10" ht="21" customHeight="1">
      <c r="A1117" s="507" t="s">
        <v>21</v>
      </c>
      <c r="B1117" s="508" t="s">
        <v>820</v>
      </c>
      <c r="C1117" s="508" t="s">
        <v>397</v>
      </c>
      <c r="D1117" s="509"/>
      <c r="E1117" s="509"/>
      <c r="F1117" s="509"/>
      <c r="G1117" s="509">
        <v>902866</v>
      </c>
      <c r="H1117" s="509"/>
      <c r="I1117" s="509"/>
      <c r="J1117" s="508"/>
    </row>
    <row r="1118" spans="1:10" ht="21" customHeight="1">
      <c r="A1118" s="507" t="s">
        <v>21</v>
      </c>
      <c r="B1118" s="508" t="s">
        <v>821</v>
      </c>
      <c r="C1118" s="508" t="s">
        <v>411</v>
      </c>
      <c r="D1118" s="509"/>
      <c r="E1118" s="509"/>
      <c r="F1118" s="509"/>
      <c r="G1118" s="509">
        <f>SUM($G$1115,$G$1116,$G$1117)</f>
        <v>2711027</v>
      </c>
      <c r="H1118" s="509"/>
      <c r="I1118" s="509"/>
      <c r="J1118" s="508"/>
    </row>
    <row r="1119" spans="1:10" ht="21" customHeight="1">
      <c r="A1119" s="507" t="s">
        <v>21</v>
      </c>
      <c r="B1119" s="508" t="s">
        <v>881</v>
      </c>
      <c r="C1119" s="508" t="s">
        <v>397</v>
      </c>
      <c r="D1119" s="509"/>
      <c r="E1119" s="509"/>
      <c r="F1119" s="509"/>
      <c r="G1119" s="509">
        <v>0</v>
      </c>
      <c r="H1119" s="509"/>
      <c r="I1119" s="509"/>
      <c r="J1119" s="508"/>
    </row>
    <row r="1120" spans="1:10" ht="21" customHeight="1">
      <c r="A1120" s="507" t="s">
        <v>21</v>
      </c>
      <c r="B1120" s="508" t="s">
        <v>882</v>
      </c>
      <c r="C1120" s="508" t="s">
        <v>397</v>
      </c>
      <c r="D1120" s="509"/>
      <c r="E1120" s="509"/>
      <c r="F1120" s="509"/>
      <c r="G1120" s="509">
        <v>0</v>
      </c>
      <c r="H1120" s="509"/>
      <c r="I1120" s="509"/>
      <c r="J1120" s="508"/>
    </row>
    <row r="1121" spans="1:10" ht="21" customHeight="1">
      <c r="A1121" s="507" t="s">
        <v>21</v>
      </c>
      <c r="B1121" s="508" t="s">
        <v>883</v>
      </c>
      <c r="C1121" s="508" t="s">
        <v>397</v>
      </c>
      <c r="D1121" s="509"/>
      <c r="E1121" s="509"/>
      <c r="F1121" s="509"/>
      <c r="G1121" s="509">
        <v>0</v>
      </c>
      <c r="H1121" s="509"/>
      <c r="I1121" s="509"/>
      <c r="J1121" s="508"/>
    </row>
    <row r="1122" spans="1:10" ht="21" customHeight="1">
      <c r="A1122" s="507" t="s">
        <v>21</v>
      </c>
      <c r="B1122" s="508" t="s">
        <v>884</v>
      </c>
      <c r="C1122" s="508" t="s">
        <v>411</v>
      </c>
      <c r="D1122" s="509"/>
      <c r="E1122" s="509"/>
      <c r="F1122" s="509"/>
      <c r="G1122" s="509">
        <f>SUM($G$1119,$G$1120,$G$1121)</f>
        <v>0</v>
      </c>
      <c r="H1122" s="509"/>
      <c r="I1122" s="509"/>
      <c r="J1122" s="508"/>
    </row>
    <row r="1123" spans="1:10" ht="21" customHeight="1">
      <c r="A1123" s="507" t="s">
        <v>21</v>
      </c>
      <c r="B1123" s="508" t="s">
        <v>525</v>
      </c>
      <c r="C1123" s="508" t="s">
        <v>397</v>
      </c>
      <c r="D1123" s="509"/>
      <c r="E1123" s="509"/>
      <c r="F1123" s="509"/>
      <c r="G1123" s="509"/>
      <c r="H1123" s="509">
        <v>50551</v>
      </c>
      <c r="I1123" s="509"/>
      <c r="J1123" s="508"/>
    </row>
    <row r="1124" spans="1:10" ht="21" customHeight="1">
      <c r="A1124" s="507" t="s">
        <v>21</v>
      </c>
      <c r="B1124" s="508" t="s">
        <v>526</v>
      </c>
      <c r="C1124" s="508" t="s">
        <v>397</v>
      </c>
      <c r="D1124" s="509"/>
      <c r="E1124" s="509"/>
      <c r="F1124" s="509"/>
      <c r="G1124" s="509"/>
      <c r="H1124" s="509">
        <v>0</v>
      </c>
      <c r="I1124" s="509"/>
      <c r="J1124" s="508"/>
    </row>
    <row r="1125" spans="1:10" ht="21" customHeight="1">
      <c r="A1125" s="507" t="s">
        <v>21</v>
      </c>
      <c r="B1125" s="508" t="s">
        <v>822</v>
      </c>
      <c r="C1125" s="508" t="s">
        <v>397</v>
      </c>
      <c r="D1125" s="509"/>
      <c r="E1125" s="509"/>
      <c r="F1125" s="509"/>
      <c r="G1125" s="509"/>
      <c r="H1125" s="509">
        <v>0</v>
      </c>
      <c r="I1125" s="509"/>
      <c r="J1125" s="508"/>
    </row>
    <row r="1126" spans="1:10" ht="21" customHeight="1">
      <c r="A1126" s="507" t="s">
        <v>21</v>
      </c>
      <c r="B1126" s="508" t="s">
        <v>544</v>
      </c>
      <c r="C1126" s="508" t="s">
        <v>411</v>
      </c>
      <c r="D1126" s="509"/>
      <c r="E1126" s="509"/>
      <c r="F1126" s="509"/>
      <c r="G1126" s="509"/>
      <c r="H1126" s="509">
        <f>SUM($H$1123,$H$1124,$H$1125)</f>
        <v>50551</v>
      </c>
      <c r="I1126" s="509"/>
      <c r="J1126" s="508"/>
    </row>
    <row r="1127" spans="1:10" ht="21" customHeight="1">
      <c r="A1127" s="507" t="s">
        <v>21</v>
      </c>
      <c r="B1127" s="508" t="s">
        <v>885</v>
      </c>
      <c r="C1127" s="508" t="s">
        <v>397</v>
      </c>
      <c r="D1127" s="509"/>
      <c r="E1127" s="509"/>
      <c r="F1127" s="509"/>
      <c r="G1127" s="509"/>
      <c r="H1127" s="509">
        <v>0</v>
      </c>
      <c r="I1127" s="509"/>
      <c r="J1127" s="508"/>
    </row>
    <row r="1128" spans="1:10" ht="21" customHeight="1">
      <c r="A1128" s="507" t="s">
        <v>21</v>
      </c>
      <c r="B1128" s="508" t="s">
        <v>545</v>
      </c>
      <c r="C1128" s="508" t="s">
        <v>397</v>
      </c>
      <c r="D1128" s="509"/>
      <c r="E1128" s="509"/>
      <c r="F1128" s="509"/>
      <c r="G1128" s="509"/>
      <c r="H1128" s="509">
        <v>0</v>
      </c>
      <c r="I1128" s="509"/>
      <c r="J1128" s="508"/>
    </row>
    <row r="1129" spans="1:10" ht="21" customHeight="1">
      <c r="A1129" s="507" t="s">
        <v>21</v>
      </c>
      <c r="B1129" s="508" t="s">
        <v>886</v>
      </c>
      <c r="C1129" s="508" t="s">
        <v>397</v>
      </c>
      <c r="D1129" s="509"/>
      <c r="E1129" s="509"/>
      <c r="F1129" s="509"/>
      <c r="G1129" s="509"/>
      <c r="H1129" s="509">
        <v>0</v>
      </c>
      <c r="I1129" s="509"/>
      <c r="J1129" s="508"/>
    </row>
    <row r="1130" spans="1:10" ht="21" customHeight="1">
      <c r="A1130" s="507" t="s">
        <v>21</v>
      </c>
      <c r="B1130" s="508" t="s">
        <v>887</v>
      </c>
      <c r="C1130" s="508" t="s">
        <v>411</v>
      </c>
      <c r="D1130" s="509"/>
      <c r="E1130" s="509"/>
      <c r="F1130" s="509"/>
      <c r="G1130" s="509"/>
      <c r="H1130" s="509">
        <f>SUM($H$1127,$H$1128,$H$1129)</f>
        <v>0</v>
      </c>
      <c r="I1130" s="509"/>
      <c r="J1130" s="508"/>
    </row>
    <row r="1131" spans="1:10" ht="21" customHeight="1">
      <c r="A1131" s="507" t="s">
        <v>21</v>
      </c>
      <c r="B1131" s="508" t="s">
        <v>527</v>
      </c>
      <c r="C1131" s="508" t="s">
        <v>397</v>
      </c>
      <c r="D1131" s="509"/>
      <c r="E1131" s="509"/>
      <c r="F1131" s="509"/>
      <c r="G1131" s="509"/>
      <c r="H1131" s="509"/>
      <c r="I1131" s="509">
        <f>'Palo Seco'!B47</f>
        <v>0</v>
      </c>
      <c r="J1131" s="508"/>
    </row>
    <row r="1132" spans="1:10" ht="21" customHeight="1">
      <c r="A1132" s="507" t="s">
        <v>21</v>
      </c>
      <c r="B1132" s="508" t="s">
        <v>528</v>
      </c>
      <c r="C1132" s="508" t="s">
        <v>397</v>
      </c>
      <c r="D1132" s="509"/>
      <c r="E1132" s="509"/>
      <c r="F1132" s="509"/>
      <c r="G1132" s="509"/>
      <c r="H1132" s="509"/>
      <c r="I1132" s="509">
        <f>'Palo Seco'!C47</f>
        <v>0</v>
      </c>
      <c r="J1132" s="508"/>
    </row>
    <row r="1133" spans="1:10" ht="21" customHeight="1">
      <c r="A1133" s="507" t="s">
        <v>21</v>
      </c>
      <c r="B1133" s="508" t="s">
        <v>888</v>
      </c>
      <c r="C1133" s="508" t="s">
        <v>397</v>
      </c>
      <c r="D1133" s="509"/>
      <c r="E1133" s="509"/>
      <c r="F1133" s="509"/>
      <c r="G1133" s="509"/>
      <c r="H1133" s="509"/>
      <c r="I1133" s="509">
        <f>'Palo Seco'!D47</f>
        <v>0</v>
      </c>
      <c r="J1133" s="508"/>
    </row>
    <row r="1134" spans="1:10" ht="21" customHeight="1">
      <c r="A1134" s="507" t="s">
        <v>21</v>
      </c>
      <c r="B1134" s="508" t="s">
        <v>889</v>
      </c>
      <c r="C1134" s="508" t="s">
        <v>411</v>
      </c>
      <c r="D1134" s="509"/>
      <c r="E1134" s="509"/>
      <c r="F1134" s="509"/>
      <c r="G1134" s="509"/>
      <c r="H1134" s="509"/>
      <c r="I1134" s="509">
        <f>SUM($I$1131,$I$1132,$I$1133)</f>
        <v>0</v>
      </c>
      <c r="J1134" s="508"/>
    </row>
    <row r="1135" spans="1:10" ht="21" customHeight="1">
      <c r="A1135" s="507" t="s">
        <v>21</v>
      </c>
      <c r="B1135" s="508" t="s">
        <v>890</v>
      </c>
      <c r="C1135" s="508" t="s">
        <v>397</v>
      </c>
      <c r="D1135" s="509"/>
      <c r="E1135" s="509"/>
      <c r="F1135" s="509"/>
      <c r="G1135" s="509"/>
      <c r="H1135" s="509"/>
      <c r="I1135" s="509">
        <f>'Palo Seco'!F47</f>
        <v>118033.4</v>
      </c>
      <c r="J1135" s="508"/>
    </row>
    <row r="1136" spans="1:10" ht="21" customHeight="1">
      <c r="A1136" s="507" t="s">
        <v>21</v>
      </c>
      <c r="B1136" s="508" t="s">
        <v>891</v>
      </c>
      <c r="C1136" s="508" t="s">
        <v>397</v>
      </c>
      <c r="D1136" s="509"/>
      <c r="E1136" s="509"/>
      <c r="F1136" s="509"/>
      <c r="G1136" s="509"/>
      <c r="H1136" s="509"/>
      <c r="I1136" s="509">
        <f>'Palo Seco'!G47</f>
        <v>1E-3</v>
      </c>
      <c r="J1136" s="508"/>
    </row>
    <row r="1137" spans="1:10" ht="21" customHeight="1">
      <c r="A1137" s="507" t="s">
        <v>21</v>
      </c>
      <c r="B1137" s="508" t="s">
        <v>892</v>
      </c>
      <c r="C1137" s="508" t="s">
        <v>397</v>
      </c>
      <c r="D1137" s="509"/>
      <c r="E1137" s="509"/>
      <c r="F1137" s="509"/>
      <c r="G1137" s="509"/>
      <c r="H1137" s="509"/>
      <c r="I1137" s="509">
        <f>'Palo Seco'!H47</f>
        <v>1E-3</v>
      </c>
      <c r="J1137" s="508"/>
    </row>
    <row r="1138" spans="1:10" ht="21" customHeight="1">
      <c r="A1138" s="507" t="s">
        <v>21</v>
      </c>
      <c r="B1138" s="508" t="s">
        <v>546</v>
      </c>
      <c r="C1138" s="508" t="s">
        <v>411</v>
      </c>
      <c r="D1138" s="509"/>
      <c r="E1138" s="509"/>
      <c r="F1138" s="509"/>
      <c r="G1138" s="509"/>
      <c r="H1138" s="509"/>
      <c r="I1138" s="509">
        <f>SUM($I$1135,$I$1136,$I$1137)</f>
        <v>118033.402</v>
      </c>
      <c r="J1138" s="508"/>
    </row>
    <row r="1139" spans="1:10" ht="21" customHeight="1">
      <c r="A1139" s="510" t="s">
        <v>893</v>
      </c>
      <c r="B1139" s="506"/>
      <c r="C1139" s="506"/>
      <c r="D1139" s="511"/>
      <c r="E1139" s="511"/>
      <c r="F1139" s="511"/>
      <c r="G1139" s="511"/>
      <c r="H1139" s="511"/>
      <c r="I1139" s="512"/>
      <c r="J1139" s="506"/>
    </row>
    <row r="1140" spans="1:10" ht="21" customHeight="1">
      <c r="A1140" s="507" t="s">
        <v>893</v>
      </c>
      <c r="B1140" s="508" t="s">
        <v>464</v>
      </c>
      <c r="C1140" s="508" t="s">
        <v>411</v>
      </c>
      <c r="D1140" s="509">
        <f>SUM($D$995,$D$996,$D$997,$D$998)</f>
        <v>8112322</v>
      </c>
      <c r="E1140" s="509">
        <f>SUM($E$1003,$E$1004,$E$1005,$E$1006)</f>
        <v>4217354</v>
      </c>
      <c r="F1140" s="509">
        <f>SUM($F$1011,$F$1012,$F$1013,$F$1014)</f>
        <v>26297</v>
      </c>
      <c r="G1140" s="509">
        <f>SUM($G$1019,$G$1020,$G$1021,$G$1022)</f>
        <v>5487594</v>
      </c>
      <c r="H1140" s="509">
        <f>SUM($H$1027,$H$1028,$H$1029,$H$1030)</f>
        <v>6327704</v>
      </c>
      <c r="I1140" s="509">
        <f>SUM($I$1035,$I$1036,$I$1037,$I$1038)</f>
        <v>12237914</v>
      </c>
      <c r="J1140" s="508" t="s">
        <v>107</v>
      </c>
    </row>
    <row r="1141" spans="1:10" ht="21" customHeight="1">
      <c r="A1141" s="507" t="s">
        <v>893</v>
      </c>
      <c r="B1141" s="508" t="s">
        <v>894</v>
      </c>
      <c r="C1141" s="508" t="s">
        <v>411</v>
      </c>
      <c r="D1141" s="509">
        <f>SUM($D$1043,$D$1044,$D$1045,$D$1046)</f>
        <v>198463</v>
      </c>
      <c r="E1141" s="509">
        <f>SUM($E$1051,$E$1052,$E$1053,$E$1054)</f>
        <v>80964</v>
      </c>
      <c r="F1141" s="509">
        <f>SUM($F$1059,$F$1060,$F$1061,$F$1062)</f>
        <v>121550</v>
      </c>
      <c r="G1141" s="509">
        <f>SUM($G$1067,$G$1068,$G$1069,$G$1070)</f>
        <v>1226779</v>
      </c>
      <c r="H1141" s="509">
        <f>SUM($H$1075,$H$1076,$H$1077,$H$1078)</f>
        <v>287954</v>
      </c>
      <c r="I1141" s="509">
        <f>SUM($I$1083,$I$1084,$I$1085,$I$1086)</f>
        <v>473204</v>
      </c>
      <c r="J1141" s="508" t="s">
        <v>107</v>
      </c>
    </row>
    <row r="1142" spans="1:10" ht="21" customHeight="1">
      <c r="A1142" s="507" t="s">
        <v>893</v>
      </c>
      <c r="B1142" s="508" t="s">
        <v>469</v>
      </c>
      <c r="C1142" s="508" t="s">
        <v>411</v>
      </c>
      <c r="D1142" s="509">
        <f>AVERAGE($D$999,$D$1000,$D$1001,$D$1002)</f>
        <v>0.48</v>
      </c>
      <c r="E1142" s="509">
        <f>AVERAGE($E$1007,$E$1008,$E$1009,$E$1010)</f>
        <v>0.46</v>
      </c>
      <c r="F1142" s="509">
        <f>AVERAGE($F$1015,$F$1016,$F$1017,$F$1018)</f>
        <v>0.5</v>
      </c>
      <c r="G1142" s="509">
        <f>AVERAGE($G$1023,$G$1024,$G$1025,$G$1026)</f>
        <v>0.49</v>
      </c>
      <c r="H1142" s="509">
        <f>AVERAGE($H$1031,$H$1032,$H$1033,$H$1034)</f>
        <v>0.46499999999999997</v>
      </c>
      <c r="I1142" s="509">
        <f>AVERAGE($I$1039,$I$1040,$I$1041,$I$1042)</f>
        <v>0.45</v>
      </c>
      <c r="J1142" s="508" t="s">
        <v>84</v>
      </c>
    </row>
    <row r="1143" spans="1:10" ht="21" customHeight="1">
      <c r="A1143" s="507" t="s">
        <v>893</v>
      </c>
      <c r="B1143" s="508" t="s">
        <v>895</v>
      </c>
      <c r="C1143" s="508" t="s">
        <v>411</v>
      </c>
      <c r="D1143" s="509">
        <f>AVERAGE($D$1047,$D$1048,$D$1049,$D$1050)</f>
        <v>1E-3</v>
      </c>
      <c r="E1143" s="509">
        <f>AVERAGE($E$1055,$E$1056,$E$1057,$E$1058)</f>
        <v>0.01</v>
      </c>
      <c r="F1143" s="509">
        <f>AVERAGE($F$1063,$F$1064,$F$1065,$F$1066)</f>
        <v>7.5000000000000002E-4</v>
      </c>
      <c r="G1143" s="509">
        <f>AVERAGE($G$1071,$G$1072,$G$1073,$G$1074)</f>
        <v>7.5000000000000002E-4</v>
      </c>
      <c r="H1143" s="509">
        <f>AVERAGE($H$1079,$H$1080,$H$1081,$H$1082)</f>
        <v>7.5000000000000002E-4</v>
      </c>
      <c r="I1143" s="509">
        <f>AVERAGE($I$1087,$I$1088,$I$1089,$I$1090)</f>
        <v>0.01</v>
      </c>
      <c r="J1143" s="508" t="s">
        <v>84</v>
      </c>
    </row>
    <row r="1144" spans="1:10" ht="21" customHeight="1">
      <c r="A1144" s="507" t="s">
        <v>893</v>
      </c>
      <c r="B1144" s="508" t="s">
        <v>827</v>
      </c>
      <c r="C1144" s="508" t="s">
        <v>411</v>
      </c>
      <c r="D1144" s="509">
        <f>(867406.4)*2204.6/77635189</f>
        <v>24.631667341468056</v>
      </c>
      <c r="E1144" s="509">
        <f>(867406.4)*2204.6/77635189</f>
        <v>24.631667341468056</v>
      </c>
      <c r="F1144" s="509">
        <f>(867406.4)*2204.6/77635189</f>
        <v>24.631667341468056</v>
      </c>
      <c r="G1144" s="509">
        <f>(867406.4)*2204.6/77635189</f>
        <v>24.631667341468056</v>
      </c>
      <c r="H1144" s="509">
        <f>(867406.4)*2204.6/77635189</f>
        <v>24.631667341468056</v>
      </c>
      <c r="I1144" s="509">
        <f>(867406.4)*2204.6/77635189</f>
        <v>24.631667341468056</v>
      </c>
      <c r="J1144" s="508" t="s">
        <v>84</v>
      </c>
    </row>
    <row r="1145" spans="1:10" ht="21" customHeight="1">
      <c r="A1145" s="507" t="s">
        <v>893</v>
      </c>
      <c r="B1145" s="508" t="s">
        <v>896</v>
      </c>
      <c r="C1145" s="508" t="s">
        <v>411</v>
      </c>
      <c r="D1145" s="509">
        <f>(73.96+0.003*25+0.0006*298)*2.2046*0.138</f>
        <v>22.578420600240001</v>
      </c>
      <c r="E1145" s="509">
        <f>(73.96+0.003*25+0.0006*298)*2.2046*0.138</f>
        <v>22.578420600240001</v>
      </c>
      <c r="F1145" s="509">
        <f>(73.96+0.003*25+0.0006*298)*2.2046*0.138</f>
        <v>22.578420600240001</v>
      </c>
      <c r="G1145" s="509">
        <f>(73.96+0.003*25+0.0006*298)*2.2046*0.138</f>
        <v>22.578420600240001</v>
      </c>
      <c r="H1145" s="509">
        <f>(73.96+0.003*25+0.0006*298)*2.2046*0.138</f>
        <v>22.578420600240001</v>
      </c>
      <c r="I1145" s="509">
        <f>(73.96+0.003*25+0.0006*298)*2.2046*0.138</f>
        <v>22.578420600240001</v>
      </c>
      <c r="J1145" s="508"/>
    </row>
    <row r="1146" spans="1:10" ht="21" customHeight="1">
      <c r="A1146" s="507" t="s">
        <v>893</v>
      </c>
      <c r="B1146" s="508" t="s">
        <v>564</v>
      </c>
      <c r="C1146" s="508" t="s">
        <v>411</v>
      </c>
      <c r="D1146" s="509">
        <f>(9.19*$D$1142)+3.22</f>
        <v>7.6311999999999998</v>
      </c>
      <c r="E1146" s="509">
        <f>(9.19*$E$1142)+3.22</f>
        <v>7.4474</v>
      </c>
      <c r="F1146" s="509">
        <f>(9.19*$F$1142)+3.22</f>
        <v>7.8149999999999995</v>
      </c>
      <c r="G1146" s="509">
        <f>(9.19*$G$1142)+3.22</f>
        <v>7.7231000000000005</v>
      </c>
      <c r="H1146" s="509">
        <f>(9.19*$H$1142)+3.22</f>
        <v>7.4933499999999995</v>
      </c>
      <c r="I1146" s="509">
        <f>(9.19*$I$1142)+3.22</f>
        <v>7.3554999999999993</v>
      </c>
      <c r="J1146" s="508"/>
    </row>
    <row r="1147" spans="1:10" ht="21" customHeight="1">
      <c r="A1147" s="507" t="s">
        <v>893</v>
      </c>
      <c r="B1147" s="508" t="s">
        <v>565</v>
      </c>
      <c r="C1147" s="508" t="s">
        <v>411</v>
      </c>
      <c r="D1147" s="509">
        <f>$D$1140</f>
        <v>8112322</v>
      </c>
      <c r="E1147" s="509">
        <f>$E$1140</f>
        <v>4217354</v>
      </c>
      <c r="F1147" s="509">
        <f>$F$1140</f>
        <v>26297</v>
      </c>
      <c r="G1147" s="509">
        <f>$G$1140</f>
        <v>5487594</v>
      </c>
      <c r="H1147" s="509">
        <f>$H$1140</f>
        <v>6327704</v>
      </c>
      <c r="I1147" s="509">
        <f>$I$1140</f>
        <v>12237914</v>
      </c>
      <c r="J1147" s="508"/>
    </row>
    <row r="1148" spans="1:10" ht="21" customHeight="1">
      <c r="A1148" s="507" t="s">
        <v>893</v>
      </c>
      <c r="B1148" s="508" t="s">
        <v>897</v>
      </c>
      <c r="C1148" s="508" t="s">
        <v>397</v>
      </c>
      <c r="D1148" s="509">
        <v>1.2E-2</v>
      </c>
      <c r="E1148" s="509">
        <v>1.2E-2</v>
      </c>
      <c r="F1148" s="509">
        <v>1.2E-2</v>
      </c>
      <c r="G1148" s="509">
        <v>1.2E-2</v>
      </c>
      <c r="H1148" s="509">
        <v>1.2E-2</v>
      </c>
      <c r="I1148" s="509">
        <f>'Cálculos PS'!J18</f>
        <v>1.2E-2</v>
      </c>
      <c r="J1148" s="508"/>
    </row>
    <row r="1149" spans="1:10" ht="21" customHeight="1">
      <c r="A1149" s="507" t="s">
        <v>893</v>
      </c>
      <c r="B1149" s="508" t="s">
        <v>898</v>
      </c>
      <c r="C1149" s="508" t="s">
        <v>411</v>
      </c>
      <c r="D1149" s="509">
        <f>$D$1141</f>
        <v>198463</v>
      </c>
      <c r="E1149" s="509">
        <f>$E$1141</f>
        <v>80964</v>
      </c>
      <c r="F1149" s="509">
        <f>$F$1141</f>
        <v>121550</v>
      </c>
      <c r="G1149" s="509">
        <f>$G$1141</f>
        <v>1226779</v>
      </c>
      <c r="H1149" s="509">
        <f>$H$1141</f>
        <v>287954</v>
      </c>
      <c r="I1149" s="509">
        <f>$I$1141</f>
        <v>473204</v>
      </c>
      <c r="J1149" s="508"/>
    </row>
    <row r="1150" spans="1:10" ht="21" customHeight="1">
      <c r="A1150" s="507" t="s">
        <v>893</v>
      </c>
      <c r="B1150" s="508" t="s">
        <v>899</v>
      </c>
      <c r="C1150" s="508" t="s">
        <v>397</v>
      </c>
      <c r="D1150" s="509">
        <v>0.13800000000000001</v>
      </c>
      <c r="E1150" s="509">
        <v>0.13800000000000001</v>
      </c>
      <c r="F1150" s="509">
        <v>0.13800000000000001</v>
      </c>
      <c r="G1150" s="509">
        <v>0.13800000000000001</v>
      </c>
      <c r="H1150" s="509">
        <v>0.13800000000000001</v>
      </c>
      <c r="I1150" s="509">
        <f>'Cálculos PS'!N18</f>
        <v>0.13800000000000001</v>
      </c>
      <c r="J1150" s="508"/>
    </row>
    <row r="1151" spans="1:10" ht="21" customHeight="1">
      <c r="A1151" s="507" t="s">
        <v>893</v>
      </c>
      <c r="B1151" s="508" t="s">
        <v>566</v>
      </c>
      <c r="C1151" s="508" t="s">
        <v>397</v>
      </c>
      <c r="D1151" s="509">
        <v>1000</v>
      </c>
      <c r="E1151" s="509">
        <v>1000</v>
      </c>
      <c r="F1151" s="509">
        <v>1000</v>
      </c>
      <c r="G1151" s="509">
        <v>1000</v>
      </c>
      <c r="H1151" s="509">
        <v>1000</v>
      </c>
      <c r="I1151" s="509">
        <f>'Cálculos PS'!B19</f>
        <v>1000</v>
      </c>
      <c r="J1151" s="508"/>
    </row>
    <row r="1152" spans="1:10" ht="21" customHeight="1">
      <c r="A1152" s="507" t="s">
        <v>893</v>
      </c>
      <c r="B1152" s="508" t="s">
        <v>567</v>
      </c>
      <c r="C1152" s="508" t="s">
        <v>397</v>
      </c>
      <c r="D1152" s="509">
        <v>2000</v>
      </c>
      <c r="E1152" s="509">
        <v>2000</v>
      </c>
      <c r="F1152" s="509">
        <v>2000</v>
      </c>
      <c r="G1152" s="509">
        <v>2000</v>
      </c>
      <c r="H1152" s="509">
        <v>2000</v>
      </c>
      <c r="I1152" s="509">
        <f>'Cálculos PS'!F19</f>
        <v>2000</v>
      </c>
      <c r="J1152" s="508"/>
    </row>
    <row r="1153" spans="1:10" ht="21" customHeight="1">
      <c r="A1153" s="507" t="s">
        <v>893</v>
      </c>
      <c r="B1153" s="508" t="s">
        <v>900</v>
      </c>
      <c r="C1153" s="508" t="s">
        <v>397</v>
      </c>
      <c r="D1153" s="509">
        <v>2000</v>
      </c>
      <c r="E1153" s="509">
        <v>2000</v>
      </c>
      <c r="F1153" s="509">
        <v>2000</v>
      </c>
      <c r="G1153" s="509">
        <v>2000</v>
      </c>
      <c r="H1153" s="509">
        <v>2000</v>
      </c>
      <c r="I1153" s="509">
        <f>'Cálculos PS'!P19</f>
        <v>2000</v>
      </c>
      <c r="J1153" s="508"/>
    </row>
    <row r="1154" spans="1:10" ht="21" customHeight="1">
      <c r="A1154" s="507" t="s">
        <v>893</v>
      </c>
      <c r="B1154" s="508" t="s">
        <v>568</v>
      </c>
      <c r="C1154" s="508" t="s">
        <v>411</v>
      </c>
      <c r="D1154" s="509">
        <f>(($D$1146/$D$1151)*$D$1147)/$D$1152</f>
        <v>30.953375823199995</v>
      </c>
      <c r="E1154" s="509">
        <f>(($E$1146/$E$1151)*$E$1147)/$E$1152</f>
        <v>15.704161089799999</v>
      </c>
      <c r="F1154" s="509">
        <f>(($F$1146/$F$1151)*$F$1147)/$F$1152</f>
        <v>0.10275552749999999</v>
      </c>
      <c r="G1154" s="509">
        <f>(($G$1146/$G$1151)*$G$1147)/$G$1152</f>
        <v>21.1906186107</v>
      </c>
      <c r="H1154" s="509">
        <f>(($H$1146/$H$1151)*$H$1147)/$H$1152</f>
        <v>23.7078503842</v>
      </c>
      <c r="I1154" s="509">
        <f>(($I$1146/$I$1151)*$I$1147)/$I$1152</f>
        <v>45.007988213499992</v>
      </c>
      <c r="J1154" s="508"/>
    </row>
    <row r="1155" spans="1:10" ht="21" customHeight="1">
      <c r="A1155" s="507" t="s">
        <v>893</v>
      </c>
      <c r="B1155" s="508" t="s">
        <v>901</v>
      </c>
      <c r="C1155" s="508" t="s">
        <v>411</v>
      </c>
      <c r="D1155" s="509">
        <f>($D$1148*$D$1149*$D$1150)/$D$1153</f>
        <v>0.164327364</v>
      </c>
      <c r="E1155" s="509">
        <f>($E$1148*$E$1149*$E$1150)/$E$1153</f>
        <v>6.703819200000001E-2</v>
      </c>
      <c r="F1155" s="509">
        <f>($F$1148*$F$1149*$F$1150)/$F$1153</f>
        <v>0.10064340000000001</v>
      </c>
      <c r="G1155" s="509">
        <f>($G$1148*$G$1149*$G$1150)/$G$1153</f>
        <v>1.0157730120000001</v>
      </c>
      <c r="H1155" s="509">
        <f>($H$1148*$H$1149*$H$1150)/$H$1153</f>
        <v>0.23842591200000002</v>
      </c>
      <c r="I1155" s="509">
        <f>($I$1148*$I$1149*$I$1150)/$I$1153</f>
        <v>0.39181291200000001</v>
      </c>
      <c r="J1155" s="508"/>
    </row>
    <row r="1156" spans="1:10" ht="21" customHeight="1">
      <c r="A1156" s="507" t="s">
        <v>893</v>
      </c>
      <c r="B1156" s="508" t="s">
        <v>509</v>
      </c>
      <c r="C1156" s="508" t="s">
        <v>411</v>
      </c>
      <c r="D1156" s="509">
        <f>157*$D$1142</f>
        <v>75.36</v>
      </c>
      <c r="E1156" s="509">
        <f>157*$E$1142</f>
        <v>72.22</v>
      </c>
      <c r="F1156" s="509">
        <f>157*$F$1142</f>
        <v>78.5</v>
      </c>
      <c r="G1156" s="509">
        <f>157*$G$1142</f>
        <v>76.929999999999993</v>
      </c>
      <c r="H1156" s="509">
        <f>157*$H$1142</f>
        <v>73.004999999999995</v>
      </c>
      <c r="I1156" s="509">
        <f>157*$I$1142</f>
        <v>70.650000000000006</v>
      </c>
      <c r="J1156" s="508"/>
    </row>
    <row r="1157" spans="1:10" ht="21" customHeight="1">
      <c r="A1157" s="507" t="s">
        <v>893</v>
      </c>
      <c r="B1157" s="508" t="s">
        <v>511</v>
      </c>
      <c r="C1157" s="508" t="s">
        <v>411</v>
      </c>
      <c r="D1157" s="509">
        <f>$D$1140</f>
        <v>8112322</v>
      </c>
      <c r="E1157" s="509">
        <f>$E$1140</f>
        <v>4217354</v>
      </c>
      <c r="F1157" s="509">
        <f>$F$1140</f>
        <v>26297</v>
      </c>
      <c r="G1157" s="509">
        <f>$G$1140</f>
        <v>5487594</v>
      </c>
      <c r="H1157" s="509">
        <f>$H$1140</f>
        <v>6327704</v>
      </c>
      <c r="I1157" s="509">
        <f>$I$1140</f>
        <v>12237914</v>
      </c>
      <c r="J1157" s="508"/>
    </row>
    <row r="1158" spans="1:10" ht="21" customHeight="1">
      <c r="A1158" s="507" t="s">
        <v>893</v>
      </c>
      <c r="B1158" s="508" t="s">
        <v>806</v>
      </c>
      <c r="C1158" s="508" t="s">
        <v>411</v>
      </c>
      <c r="D1158" s="509">
        <f>1.01*$D$1143</f>
        <v>1.01E-3</v>
      </c>
      <c r="E1158" s="509">
        <f>1.01*$E$1143</f>
        <v>1.01E-2</v>
      </c>
      <c r="F1158" s="509">
        <f>1.01*$F$1143</f>
        <v>7.5750000000000004E-4</v>
      </c>
      <c r="G1158" s="509">
        <f>1.01*$G$1143</f>
        <v>7.5750000000000004E-4</v>
      </c>
      <c r="H1158" s="509">
        <f>1.01*$H$1143</f>
        <v>7.5750000000000004E-4</v>
      </c>
      <c r="I1158" s="509">
        <f>1.01*$I$1143</f>
        <v>1.01E-2</v>
      </c>
      <c r="J1158" s="508"/>
    </row>
    <row r="1159" spans="1:10" ht="21" customHeight="1">
      <c r="A1159" s="507" t="s">
        <v>893</v>
      </c>
      <c r="B1159" s="508" t="s">
        <v>808</v>
      </c>
      <c r="C1159" s="508" t="s">
        <v>411</v>
      </c>
      <c r="D1159" s="509">
        <f>$D$1141</f>
        <v>198463</v>
      </c>
      <c r="E1159" s="509">
        <f>$E$1141</f>
        <v>80964</v>
      </c>
      <c r="F1159" s="509">
        <f>$F$1141</f>
        <v>121550</v>
      </c>
      <c r="G1159" s="509">
        <f>$G$1141</f>
        <v>1226779</v>
      </c>
      <c r="H1159" s="509">
        <f>$H$1141</f>
        <v>287954</v>
      </c>
      <c r="I1159" s="509">
        <f>$I$1141</f>
        <v>473204</v>
      </c>
      <c r="J1159" s="508"/>
    </row>
    <row r="1160" spans="1:10" ht="21" customHeight="1">
      <c r="A1160" s="507" t="s">
        <v>893</v>
      </c>
      <c r="B1160" s="508" t="s">
        <v>712</v>
      </c>
      <c r="C1160" s="508" t="s">
        <v>397</v>
      </c>
      <c r="D1160" s="509">
        <v>0.13800000000000001</v>
      </c>
      <c r="E1160" s="509">
        <v>0.13800000000000001</v>
      </c>
      <c r="F1160" s="509">
        <v>0.13800000000000001</v>
      </c>
      <c r="G1160" s="509">
        <v>0.13800000000000001</v>
      </c>
      <c r="H1160" s="509">
        <v>0.13800000000000001</v>
      </c>
      <c r="I1160" s="509">
        <f>'Cálculos PS'!N28</f>
        <v>0.13800000000000001</v>
      </c>
      <c r="J1160" s="508"/>
    </row>
    <row r="1161" spans="1:10" ht="21" customHeight="1">
      <c r="A1161" s="507" t="s">
        <v>893</v>
      </c>
      <c r="B1161" s="508" t="s">
        <v>513</v>
      </c>
      <c r="C1161" s="508" t="s">
        <v>397</v>
      </c>
      <c r="D1161" s="509">
        <v>1000</v>
      </c>
      <c r="E1161" s="509">
        <v>1000</v>
      </c>
      <c r="F1161" s="509">
        <v>1000</v>
      </c>
      <c r="G1161" s="509">
        <v>1000</v>
      </c>
      <c r="H1161" s="509">
        <v>1000</v>
      </c>
      <c r="I1161" s="509">
        <f>'Cálculos PS'!B29</f>
        <v>1000</v>
      </c>
      <c r="J1161" s="508"/>
    </row>
    <row r="1162" spans="1:10" ht="21" customHeight="1">
      <c r="A1162" s="507" t="s">
        <v>893</v>
      </c>
      <c r="B1162" s="508" t="s">
        <v>833</v>
      </c>
      <c r="C1162" s="508" t="s">
        <v>397</v>
      </c>
      <c r="D1162" s="509">
        <v>2000</v>
      </c>
      <c r="E1162" s="509">
        <v>2000</v>
      </c>
      <c r="F1162" s="509">
        <v>2000</v>
      </c>
      <c r="G1162" s="509">
        <v>2000</v>
      </c>
      <c r="H1162" s="509">
        <v>2000</v>
      </c>
      <c r="I1162" s="509">
        <f>'Cálculos PS'!F29</f>
        <v>2000</v>
      </c>
      <c r="J1162" s="508"/>
    </row>
    <row r="1163" spans="1:10" ht="21" customHeight="1">
      <c r="A1163" s="507" t="s">
        <v>893</v>
      </c>
      <c r="B1163" s="508" t="s">
        <v>902</v>
      </c>
      <c r="C1163" s="508" t="s">
        <v>397</v>
      </c>
      <c r="D1163" s="509">
        <v>2000</v>
      </c>
      <c r="E1163" s="509">
        <v>2000</v>
      </c>
      <c r="F1163" s="509">
        <v>2000</v>
      </c>
      <c r="G1163" s="509">
        <v>2000</v>
      </c>
      <c r="H1163" s="509">
        <v>2000</v>
      </c>
      <c r="I1163" s="509">
        <f>'Cálculos PS'!P29</f>
        <v>2000</v>
      </c>
      <c r="J1163" s="508"/>
    </row>
    <row r="1164" spans="1:10" ht="21" customHeight="1">
      <c r="A1164" s="507" t="s">
        <v>893</v>
      </c>
      <c r="B1164" s="508" t="s">
        <v>609</v>
      </c>
      <c r="C1164" s="508" t="s">
        <v>411</v>
      </c>
      <c r="D1164" s="509">
        <f>(($D$1156/$D$1161)*$D$1157)/$D$1162</f>
        <v>305.67229295999999</v>
      </c>
      <c r="E1164" s="509">
        <f>(($E$1156/$E$1161)*$E$1157)/$E$1162</f>
        <v>152.28865293999996</v>
      </c>
      <c r="F1164" s="509">
        <f>(($F$1156/$F$1161)*$F$1157)/$F$1162</f>
        <v>1.03215725</v>
      </c>
      <c r="G1164" s="509">
        <f>(($G$1156/$G$1161)*$G$1157)/$G$1162</f>
        <v>211.08030320999998</v>
      </c>
      <c r="H1164" s="509">
        <f>(($H$1156/$H$1161)*$H$1157)/$H$1162</f>
        <v>230.97701526</v>
      </c>
      <c r="I1164" s="509">
        <f>(($I$1156/$I$1161)*$I$1157)/$I$1162</f>
        <v>432.30431205000002</v>
      </c>
      <c r="J1164" s="508"/>
    </row>
    <row r="1165" spans="1:10" ht="21" customHeight="1">
      <c r="A1165" s="507" t="s">
        <v>893</v>
      </c>
      <c r="B1165" s="508" t="s">
        <v>903</v>
      </c>
      <c r="C1165" s="508" t="s">
        <v>411</v>
      </c>
      <c r="D1165" s="509">
        <f>($D$1158*$D$1159*$D$1160)/$D$1163</f>
        <v>1.3830886470000001E-2</v>
      </c>
      <c r="E1165" s="509">
        <f>($E$1158*$E$1159*$E$1160)/$E$1163</f>
        <v>5.6423811600000005E-2</v>
      </c>
      <c r="F1165" s="509">
        <f>($F$1158*$F$1159*$F$1160)/$F$1163</f>
        <v>6.3531146250000005E-3</v>
      </c>
      <c r="G1165" s="509">
        <f>($G$1158*$G$1159*$G$1160)/$G$1163</f>
        <v>6.4120671382500008E-2</v>
      </c>
      <c r="H1165" s="509">
        <f>($H$1158*$H$1159*$H$1160)/$H$1163</f>
        <v>1.5050635695000002E-2</v>
      </c>
      <c r="I1165" s="509">
        <f>($I$1158*$I$1159*$I$1160)/$I$1163</f>
        <v>0.32977586760000005</v>
      </c>
      <c r="J1165" s="508"/>
    </row>
    <row r="1166" spans="1:10" ht="21" customHeight="1">
      <c r="A1166" s="507" t="s">
        <v>893</v>
      </c>
      <c r="B1166" s="508" t="s">
        <v>616</v>
      </c>
      <c r="C1166" s="508" t="s">
        <v>397</v>
      </c>
      <c r="D1166" s="509">
        <v>0.36</v>
      </c>
      <c r="E1166" s="509">
        <v>0.36</v>
      </c>
      <c r="F1166" s="509">
        <v>0.36</v>
      </c>
      <c r="G1166" s="509">
        <v>0.33</v>
      </c>
      <c r="H1166" s="509">
        <v>0.33</v>
      </c>
      <c r="I1166" s="509">
        <f>'Cálculos PS'!B38</f>
        <v>0.33</v>
      </c>
      <c r="J1166" s="508"/>
    </row>
    <row r="1167" spans="1:10" ht="21" customHeight="1">
      <c r="A1167" s="507" t="s">
        <v>893</v>
      </c>
      <c r="B1167" s="508" t="s">
        <v>836</v>
      </c>
      <c r="C1167" s="508" t="s">
        <v>411</v>
      </c>
      <c r="D1167" s="509">
        <f>$D$1140</f>
        <v>8112322</v>
      </c>
      <c r="E1167" s="509">
        <f>$E$1140</f>
        <v>4217354</v>
      </c>
      <c r="F1167" s="509">
        <f>$F$1140</f>
        <v>26297</v>
      </c>
      <c r="G1167" s="509">
        <f>$G$1140</f>
        <v>5487594</v>
      </c>
      <c r="H1167" s="509">
        <f>$H$1140</f>
        <v>6327704</v>
      </c>
      <c r="I1167" s="509">
        <f>$I$1140</f>
        <v>12237914</v>
      </c>
      <c r="J1167" s="508"/>
    </row>
    <row r="1168" spans="1:10" ht="21" customHeight="1">
      <c r="A1168" s="507" t="s">
        <v>893</v>
      </c>
      <c r="B1168" s="508" t="s">
        <v>904</v>
      </c>
      <c r="C1168" s="508" t="s">
        <v>397</v>
      </c>
      <c r="D1168" s="509">
        <v>0.88</v>
      </c>
      <c r="E1168" s="509">
        <v>0.88</v>
      </c>
      <c r="F1168" s="509">
        <v>0.88</v>
      </c>
      <c r="G1168" s="509">
        <v>0.88</v>
      </c>
      <c r="H1168" s="509">
        <v>0.88</v>
      </c>
      <c r="I1168" s="509">
        <f>'Cálculos PS'!J38</f>
        <v>0.88</v>
      </c>
      <c r="J1168" s="508"/>
    </row>
    <row r="1169" spans="1:10" ht="21" customHeight="1">
      <c r="A1169" s="507" t="s">
        <v>893</v>
      </c>
      <c r="B1169" s="508" t="s">
        <v>905</v>
      </c>
      <c r="C1169" s="508" t="s">
        <v>411</v>
      </c>
      <c r="D1169" s="509">
        <f>$D$1141</f>
        <v>198463</v>
      </c>
      <c r="E1169" s="509">
        <f>$E$1141</f>
        <v>80964</v>
      </c>
      <c r="F1169" s="509">
        <f>$F$1141</f>
        <v>121550</v>
      </c>
      <c r="G1169" s="509">
        <f>$G$1141</f>
        <v>1226779</v>
      </c>
      <c r="H1169" s="509">
        <f>$H$1141</f>
        <v>287954</v>
      </c>
      <c r="I1169" s="509">
        <f>$I$1141</f>
        <v>473204</v>
      </c>
      <c r="J1169" s="508"/>
    </row>
    <row r="1170" spans="1:10" ht="21" customHeight="1">
      <c r="A1170" s="507" t="s">
        <v>893</v>
      </c>
      <c r="B1170" s="508" t="s">
        <v>906</v>
      </c>
      <c r="C1170" s="508" t="s">
        <v>397</v>
      </c>
      <c r="D1170" s="509">
        <v>0.13800000000000001</v>
      </c>
      <c r="E1170" s="509">
        <v>0.13800000000000001</v>
      </c>
      <c r="F1170" s="509">
        <v>0.13800000000000001</v>
      </c>
      <c r="G1170" s="509">
        <v>0.13800000000000001</v>
      </c>
      <c r="H1170" s="509">
        <v>0.13800000000000001</v>
      </c>
      <c r="I1170" s="509">
        <f>'Cálculos PS'!N38</f>
        <v>0.13800000000000001</v>
      </c>
      <c r="J1170" s="508"/>
    </row>
    <row r="1171" spans="1:10" ht="21" customHeight="1">
      <c r="A1171" s="507" t="s">
        <v>893</v>
      </c>
      <c r="B1171" s="508" t="s">
        <v>907</v>
      </c>
      <c r="C1171" s="508" t="s">
        <v>397</v>
      </c>
      <c r="D1171" s="509">
        <v>2000</v>
      </c>
      <c r="E1171" s="509">
        <v>2000</v>
      </c>
      <c r="F1171" s="509">
        <v>2000</v>
      </c>
      <c r="G1171" s="509">
        <v>2000</v>
      </c>
      <c r="H1171" s="509">
        <v>2000</v>
      </c>
      <c r="I1171" s="509">
        <f>'Cálculos PS'!P39</f>
        <v>2000</v>
      </c>
      <c r="J1171" s="508"/>
    </row>
    <row r="1172" spans="1:10" ht="21" customHeight="1">
      <c r="A1172" s="507" t="s">
        <v>893</v>
      </c>
      <c r="B1172" s="508" t="s">
        <v>517</v>
      </c>
      <c r="C1172" s="508" t="s">
        <v>411</v>
      </c>
      <c r="D1172" s="509">
        <f>$D$1166*$D$1167*0.15/2000</f>
        <v>219.03269399999999</v>
      </c>
      <c r="E1172" s="509">
        <f>$E$1166*$E$1167*0.15/2000</f>
        <v>113.86855799999999</v>
      </c>
      <c r="F1172" s="509">
        <f>$F$1166*$F$1167*0.15/2000</f>
        <v>0.71001899999999996</v>
      </c>
      <c r="G1172" s="509">
        <f>$G$1166*$G$1167*0.15/2000</f>
        <v>135.81795149999999</v>
      </c>
      <c r="H1172" s="509">
        <f>$H$1166*$H$1167*0.15/2000</f>
        <v>156.61067399999999</v>
      </c>
      <c r="I1172" s="509">
        <f>$I$1166*$I$1167*0.15/2000</f>
        <v>302.88837150000001</v>
      </c>
      <c r="J1172" s="508"/>
    </row>
    <row r="1173" spans="1:10" ht="21" customHeight="1">
      <c r="A1173" s="507" t="s">
        <v>893</v>
      </c>
      <c r="B1173" s="508" t="s">
        <v>908</v>
      </c>
      <c r="C1173" s="508" t="s">
        <v>411</v>
      </c>
      <c r="D1173" s="509">
        <f>($D$1168*$D$1169*$D$1170)/$D$1171</f>
        <v>12.050673360000001</v>
      </c>
      <c r="E1173" s="509">
        <f>($E$1168*$E$1169*$E$1170)/$E$1171</f>
        <v>4.9161340800000008</v>
      </c>
      <c r="F1173" s="509">
        <f>($F$1168*$F$1169*$F$1170)/$F$1171</f>
        <v>7.380516000000001</v>
      </c>
      <c r="G1173" s="509">
        <f>($G$1168*$G$1169*$G$1170)/$G$1171</f>
        <v>74.490020880000017</v>
      </c>
      <c r="H1173" s="509">
        <f>($H$1168*$H$1169*$H$1170)/$H$1171</f>
        <v>17.484566880000003</v>
      </c>
      <c r="I1173" s="509">
        <f>($I$1168*$I$1169*$I$1170)/$I$1171</f>
        <v>28.732946880000004</v>
      </c>
      <c r="J1173" s="508"/>
    </row>
    <row r="1174" spans="1:10" ht="21" customHeight="1">
      <c r="A1174" s="507" t="s">
        <v>893</v>
      </c>
      <c r="B1174" s="508" t="s">
        <v>725</v>
      </c>
      <c r="C1174" s="508" t="s">
        <v>397</v>
      </c>
      <c r="D1174" s="509">
        <v>0.76</v>
      </c>
      <c r="E1174" s="509">
        <v>0.76</v>
      </c>
      <c r="F1174" s="509">
        <v>0.76</v>
      </c>
      <c r="G1174" s="509">
        <v>0.76</v>
      </c>
      <c r="H1174" s="509">
        <v>0.76</v>
      </c>
      <c r="I1174" s="509">
        <f>'Cálculos PS'!B48</f>
        <v>0.76</v>
      </c>
      <c r="J1174" s="508"/>
    </row>
    <row r="1175" spans="1:10" ht="21" customHeight="1">
      <c r="A1175" s="507" t="s">
        <v>893</v>
      </c>
      <c r="B1175" s="508" t="s">
        <v>726</v>
      </c>
      <c r="C1175" s="508" t="s">
        <v>411</v>
      </c>
      <c r="D1175" s="509">
        <f>$D$1140</f>
        <v>8112322</v>
      </c>
      <c r="E1175" s="509">
        <f>$E$1140</f>
        <v>4217354</v>
      </c>
      <c r="F1175" s="509">
        <f>$F$1140</f>
        <v>26297</v>
      </c>
      <c r="G1175" s="509">
        <f>$G$1140</f>
        <v>5487594</v>
      </c>
      <c r="H1175" s="509">
        <f>$H$1140</f>
        <v>6327704</v>
      </c>
      <c r="I1175" s="509">
        <f>$I$1140</f>
        <v>12237914</v>
      </c>
      <c r="J1175" s="508"/>
    </row>
    <row r="1176" spans="1:10" ht="21" customHeight="1">
      <c r="A1176" s="507" t="s">
        <v>893</v>
      </c>
      <c r="B1176" s="508" t="s">
        <v>909</v>
      </c>
      <c r="C1176" s="508" t="s">
        <v>397</v>
      </c>
      <c r="D1176" s="509">
        <v>4.0999999999999999E-4</v>
      </c>
      <c r="E1176" s="509">
        <v>4.0999999999999999E-4</v>
      </c>
      <c r="F1176" s="509">
        <v>4.0999999999999999E-4</v>
      </c>
      <c r="G1176" s="509">
        <v>4.0999999999999999E-4</v>
      </c>
      <c r="H1176" s="509">
        <v>4.0999999999999999E-4</v>
      </c>
      <c r="I1176" s="509">
        <f>'Cálculos PS'!J48</f>
        <v>4.0999999999999999E-4</v>
      </c>
      <c r="J1176" s="508"/>
    </row>
    <row r="1177" spans="1:10" ht="21" customHeight="1">
      <c r="A1177" s="507" t="s">
        <v>893</v>
      </c>
      <c r="B1177" s="508" t="s">
        <v>910</v>
      </c>
      <c r="C1177" s="508" t="s">
        <v>411</v>
      </c>
      <c r="D1177" s="509">
        <f>$D$1141</f>
        <v>198463</v>
      </c>
      <c r="E1177" s="509">
        <f>$E$1141</f>
        <v>80964</v>
      </c>
      <c r="F1177" s="509">
        <f>$F$1141</f>
        <v>121550</v>
      </c>
      <c r="G1177" s="509">
        <f>$G$1141</f>
        <v>1226779</v>
      </c>
      <c r="H1177" s="509">
        <f>$H$1141</f>
        <v>287954</v>
      </c>
      <c r="I1177" s="509">
        <f>$I$1141</f>
        <v>473204</v>
      </c>
      <c r="J1177" s="508"/>
    </row>
    <row r="1178" spans="1:10" ht="21" customHeight="1">
      <c r="A1178" s="507" t="s">
        <v>893</v>
      </c>
      <c r="B1178" s="508" t="s">
        <v>911</v>
      </c>
      <c r="C1178" s="508" t="s">
        <v>397</v>
      </c>
      <c r="D1178" s="509">
        <v>0.13800000000000001</v>
      </c>
      <c r="E1178" s="509">
        <v>0.13800000000000001</v>
      </c>
      <c r="F1178" s="509">
        <v>0.13800000000000001</v>
      </c>
      <c r="G1178" s="509">
        <v>0.13800000000000001</v>
      </c>
      <c r="H1178" s="509">
        <v>0.13800000000000001</v>
      </c>
      <c r="I1178" s="509">
        <f>'Cálculos PS'!N48</f>
        <v>0.13800000000000001</v>
      </c>
      <c r="J1178" s="508"/>
    </row>
    <row r="1179" spans="1:10" ht="21" customHeight="1">
      <c r="A1179" s="507" t="s">
        <v>893</v>
      </c>
      <c r="B1179" s="508" t="s">
        <v>727</v>
      </c>
      <c r="C1179" s="508" t="s">
        <v>397</v>
      </c>
      <c r="D1179" s="509">
        <v>1000</v>
      </c>
      <c r="E1179" s="509">
        <v>1000</v>
      </c>
      <c r="F1179" s="509">
        <v>1000</v>
      </c>
      <c r="G1179" s="509">
        <v>1000</v>
      </c>
      <c r="H1179" s="509">
        <v>1000</v>
      </c>
      <c r="I1179" s="509">
        <f>'Cálculos PS'!B49</f>
        <v>1000</v>
      </c>
      <c r="J1179" s="508"/>
    </row>
    <row r="1180" spans="1:10" ht="21" customHeight="1">
      <c r="A1180" s="507" t="s">
        <v>893</v>
      </c>
      <c r="B1180" s="508" t="s">
        <v>728</v>
      </c>
      <c r="C1180" s="508" t="s">
        <v>397</v>
      </c>
      <c r="D1180" s="509">
        <v>2000</v>
      </c>
      <c r="E1180" s="509">
        <v>2000</v>
      </c>
      <c r="F1180" s="509">
        <v>2000</v>
      </c>
      <c r="G1180" s="509">
        <v>2000</v>
      </c>
      <c r="H1180" s="509">
        <v>2000</v>
      </c>
      <c r="I1180" s="509">
        <f>'Cálculos PS'!F49</f>
        <v>2000</v>
      </c>
      <c r="J1180" s="508"/>
    </row>
    <row r="1181" spans="1:10" ht="21" customHeight="1">
      <c r="A1181" s="507" t="s">
        <v>893</v>
      </c>
      <c r="B1181" s="508" t="s">
        <v>912</v>
      </c>
      <c r="C1181" s="508" t="s">
        <v>397</v>
      </c>
      <c r="D1181" s="509">
        <v>2000</v>
      </c>
      <c r="E1181" s="509">
        <v>2000</v>
      </c>
      <c r="F1181" s="509">
        <v>2000</v>
      </c>
      <c r="G1181" s="509">
        <v>2000</v>
      </c>
      <c r="H1181" s="509">
        <v>2000</v>
      </c>
      <c r="I1181" s="509">
        <f>'Cálculos PS'!P49</f>
        <v>2000</v>
      </c>
      <c r="J1181" s="508"/>
    </row>
    <row r="1182" spans="1:10" ht="21" customHeight="1">
      <c r="A1182" s="507" t="s">
        <v>893</v>
      </c>
      <c r="B1182" s="508" t="s">
        <v>578</v>
      </c>
      <c r="C1182" s="508" t="s">
        <v>411</v>
      </c>
      <c r="D1182" s="509">
        <f>(($D$1174/$D$1179)*$D$1175)/$D$1180</f>
        <v>3.0826823600000002</v>
      </c>
      <c r="E1182" s="509">
        <f>(($E$1174/$E$1179)*$E$1175)/$E$1180</f>
        <v>1.60259452</v>
      </c>
      <c r="F1182" s="509">
        <f>(($F$1174/$F$1179)*$F$1175)/$F$1180</f>
        <v>9.992860000000001E-3</v>
      </c>
      <c r="G1182" s="509">
        <f>(($G$1174/$G$1179)*$G$1175)/$G$1180</f>
        <v>2.0852857200000003</v>
      </c>
      <c r="H1182" s="509">
        <f>(($H$1174/$H$1179)*$H$1175)/$H$1180</f>
        <v>2.4045275200000003</v>
      </c>
      <c r="I1182" s="509">
        <f>(($I$1174/$I$1179)*$I$1175)/$I$1180</f>
        <v>4.6504073200000002</v>
      </c>
      <c r="J1182" s="508"/>
    </row>
    <row r="1183" spans="1:10" ht="21" customHeight="1">
      <c r="A1183" s="507" t="s">
        <v>893</v>
      </c>
      <c r="B1183" s="508" t="s">
        <v>913</v>
      </c>
      <c r="C1183" s="508" t="s">
        <v>411</v>
      </c>
      <c r="D1183" s="509">
        <f>($D$1176*$D$1177*$D$1178)/$D$1181</f>
        <v>5.6145182699999996E-3</v>
      </c>
      <c r="E1183" s="509">
        <f>($E$1176*$E$1177*$E$1178)/$E$1181</f>
        <v>2.2904715600000005E-3</v>
      </c>
      <c r="F1183" s="509">
        <f>($F$1176*$F$1177*$F$1178)/$F$1181</f>
        <v>3.4386495E-3</v>
      </c>
      <c r="G1183" s="509">
        <f>($G$1176*$G$1177*$G$1178)/$G$1181</f>
        <v>3.470557791E-2</v>
      </c>
      <c r="H1183" s="509">
        <f>($H$1176*$H$1177*$H$1178)/$H$1181</f>
        <v>8.146218660000001E-3</v>
      </c>
      <c r="I1183" s="509">
        <f>($I$1176*$I$1177*$I$1178)/$I$1181</f>
        <v>1.3386941160000001E-2</v>
      </c>
      <c r="J1183" s="508"/>
    </row>
    <row r="1184" spans="1:10" ht="21" customHeight="1">
      <c r="A1184" s="507" t="s">
        <v>893</v>
      </c>
      <c r="B1184" s="508" t="s">
        <v>731</v>
      </c>
      <c r="C1184" s="508" t="s">
        <v>397</v>
      </c>
      <c r="D1184" s="509">
        <v>5</v>
      </c>
      <c r="E1184" s="509">
        <v>5</v>
      </c>
      <c r="F1184" s="509">
        <v>5</v>
      </c>
      <c r="G1184" s="509">
        <v>5</v>
      </c>
      <c r="H1184" s="509">
        <v>5</v>
      </c>
      <c r="I1184" s="509">
        <f>'Cálculos PS'!B58</f>
        <v>5</v>
      </c>
      <c r="J1184" s="508"/>
    </row>
    <row r="1185" spans="1:10" ht="21" customHeight="1">
      <c r="A1185" s="507" t="s">
        <v>893</v>
      </c>
      <c r="B1185" s="508" t="s">
        <v>845</v>
      </c>
      <c r="C1185" s="508" t="s">
        <v>411</v>
      </c>
      <c r="D1185" s="509">
        <f>$D$1140</f>
        <v>8112322</v>
      </c>
      <c r="E1185" s="509">
        <f>$E$1140</f>
        <v>4217354</v>
      </c>
      <c r="F1185" s="509">
        <f>$F$1140</f>
        <v>26297</v>
      </c>
      <c r="G1185" s="509">
        <f>$G$1140</f>
        <v>5487594</v>
      </c>
      <c r="H1185" s="509">
        <f>$H$1140</f>
        <v>6327704</v>
      </c>
      <c r="I1185" s="509">
        <f>$I$1140</f>
        <v>12237914</v>
      </c>
      <c r="J1185" s="508"/>
    </row>
    <row r="1186" spans="1:10" ht="21" customHeight="1">
      <c r="A1186" s="507" t="s">
        <v>893</v>
      </c>
      <c r="B1186" s="508" t="s">
        <v>914</v>
      </c>
      <c r="C1186" s="508" t="s">
        <v>397</v>
      </c>
      <c r="D1186" s="509">
        <v>3.3E-3</v>
      </c>
      <c r="E1186" s="509">
        <v>3.3E-3</v>
      </c>
      <c r="F1186" s="509">
        <v>3.3E-3</v>
      </c>
      <c r="G1186" s="509">
        <v>3.3E-3</v>
      </c>
      <c r="H1186" s="509">
        <v>3.3E-3</v>
      </c>
      <c r="I1186" s="509">
        <f>'Cálculos PS'!J58</f>
        <v>3.3E-3</v>
      </c>
      <c r="J1186" s="508"/>
    </row>
    <row r="1187" spans="1:10" ht="21" customHeight="1">
      <c r="A1187" s="507" t="s">
        <v>893</v>
      </c>
      <c r="B1187" s="508" t="s">
        <v>915</v>
      </c>
      <c r="C1187" s="508" t="s">
        <v>411</v>
      </c>
      <c r="D1187" s="509">
        <f>$D$1141</f>
        <v>198463</v>
      </c>
      <c r="E1187" s="509">
        <f>$E$1141</f>
        <v>80964</v>
      </c>
      <c r="F1187" s="509">
        <f>$F$1141</f>
        <v>121550</v>
      </c>
      <c r="G1187" s="509">
        <f>$G$1141</f>
        <v>1226779</v>
      </c>
      <c r="H1187" s="509">
        <f>$H$1141</f>
        <v>287954</v>
      </c>
      <c r="I1187" s="509">
        <f>$I$1141</f>
        <v>473204</v>
      </c>
      <c r="J1187" s="508"/>
    </row>
    <row r="1188" spans="1:10" ht="21" customHeight="1">
      <c r="A1188" s="507" t="s">
        <v>893</v>
      </c>
      <c r="B1188" s="508" t="s">
        <v>916</v>
      </c>
      <c r="C1188" s="508" t="s">
        <v>397</v>
      </c>
      <c r="D1188" s="509">
        <v>0.13800000000000001</v>
      </c>
      <c r="E1188" s="509">
        <v>0.13800000000000001</v>
      </c>
      <c r="F1188" s="509">
        <v>0.13800000000000001</v>
      </c>
      <c r="G1188" s="509">
        <v>0.13800000000000001</v>
      </c>
      <c r="H1188" s="509">
        <v>0.13800000000000001</v>
      </c>
      <c r="I1188" s="509">
        <f>'Cálculos PS'!N58</f>
        <v>0.13800000000000001</v>
      </c>
      <c r="J1188" s="508"/>
    </row>
    <row r="1189" spans="1:10" ht="21" customHeight="1">
      <c r="A1189" s="507" t="s">
        <v>893</v>
      </c>
      <c r="B1189" s="508" t="s">
        <v>641</v>
      </c>
      <c r="C1189" s="508" t="s">
        <v>397</v>
      </c>
      <c r="D1189" s="509">
        <v>1000</v>
      </c>
      <c r="E1189" s="509">
        <v>1000</v>
      </c>
      <c r="F1189" s="509">
        <v>1000</v>
      </c>
      <c r="G1189" s="509">
        <v>1000</v>
      </c>
      <c r="H1189" s="509">
        <v>1000</v>
      </c>
      <c r="I1189" s="509">
        <f>'Cálculos PS'!B59</f>
        <v>1000</v>
      </c>
      <c r="J1189" s="508"/>
    </row>
    <row r="1190" spans="1:10" ht="21" customHeight="1">
      <c r="A1190" s="507" t="s">
        <v>893</v>
      </c>
      <c r="B1190" s="508" t="s">
        <v>849</v>
      </c>
      <c r="C1190" s="508" t="s">
        <v>397</v>
      </c>
      <c r="D1190" s="509">
        <v>2000</v>
      </c>
      <c r="E1190" s="509">
        <v>2000</v>
      </c>
      <c r="F1190" s="509">
        <v>2000</v>
      </c>
      <c r="G1190" s="509">
        <v>2000</v>
      </c>
      <c r="H1190" s="509">
        <v>2000</v>
      </c>
      <c r="I1190" s="509">
        <f>'Cálculos PS'!F59</f>
        <v>2000</v>
      </c>
      <c r="J1190" s="508"/>
    </row>
    <row r="1191" spans="1:10" ht="21" customHeight="1">
      <c r="A1191" s="507" t="s">
        <v>893</v>
      </c>
      <c r="B1191" s="508" t="s">
        <v>917</v>
      </c>
      <c r="C1191" s="508" t="s">
        <v>397</v>
      </c>
      <c r="D1191" s="509">
        <v>2000</v>
      </c>
      <c r="E1191" s="509">
        <v>2000</v>
      </c>
      <c r="F1191" s="509">
        <v>2000</v>
      </c>
      <c r="G1191" s="509">
        <v>2000</v>
      </c>
      <c r="H1191" s="509">
        <v>2000</v>
      </c>
      <c r="I1191" s="509">
        <f>'Cálculos PS'!P59</f>
        <v>2000</v>
      </c>
      <c r="J1191" s="508"/>
    </row>
    <row r="1192" spans="1:10" ht="21" customHeight="1">
      <c r="A1192" s="507" t="s">
        <v>893</v>
      </c>
      <c r="B1192" s="508" t="s">
        <v>581</v>
      </c>
      <c r="C1192" s="508" t="s">
        <v>411</v>
      </c>
      <c r="D1192" s="509">
        <f>(($D$1184/$D$1189)*$D$1185)/$D$1190</f>
        <v>20.280805000000001</v>
      </c>
      <c r="E1192" s="509">
        <f>(($E$1184/$E$1189)*$E$1185)/$E$1190</f>
        <v>10.543385000000001</v>
      </c>
      <c r="F1192" s="509">
        <f>(($F$1184/$F$1189)*$F$1185)/$F$1190</f>
        <v>6.5742500000000009E-2</v>
      </c>
      <c r="G1192" s="509">
        <f>(($G$1184/$G$1189)*$G$1185)/$G$1190</f>
        <v>13.718985</v>
      </c>
      <c r="H1192" s="509">
        <f>(($H$1184/$H$1189)*$H$1185)/$H$1190</f>
        <v>15.81926</v>
      </c>
      <c r="I1192" s="509">
        <f>(($I$1184/$I$1189)*$I$1185)/$I$1190</f>
        <v>30.594784999999998</v>
      </c>
      <c r="J1192" s="508"/>
    </row>
    <row r="1193" spans="1:10" ht="21" customHeight="1">
      <c r="A1193" s="507" t="s">
        <v>893</v>
      </c>
      <c r="B1193" s="508" t="s">
        <v>918</v>
      </c>
      <c r="C1193" s="508" t="s">
        <v>411</v>
      </c>
      <c r="D1193" s="509">
        <f>($D$1186*$D$1187*$D$1188)/$D$1191</f>
        <v>4.519002510000001E-2</v>
      </c>
      <c r="E1193" s="509">
        <f>($E$1186*$E$1187*$E$1188)/$E$1191</f>
        <v>1.8435502800000003E-2</v>
      </c>
      <c r="F1193" s="509">
        <f>($F$1186*$F$1187*$F$1188)/$F$1191</f>
        <v>2.7676935000000003E-2</v>
      </c>
      <c r="G1193" s="509">
        <f>($G$1186*$G$1187*$G$1188)/$G$1191</f>
        <v>0.2793375783</v>
      </c>
      <c r="H1193" s="509">
        <f>($H$1186*$H$1187*$H$1188)/$H$1191</f>
        <v>6.5567125800000001E-2</v>
      </c>
      <c r="I1193" s="509">
        <f>($I$1186*$I$1187*$I$1188)/$I$1191</f>
        <v>0.10774855080000002</v>
      </c>
      <c r="J1193" s="508"/>
    </row>
    <row r="1194" spans="1:10" ht="21" customHeight="1">
      <c r="A1194" s="507" t="s">
        <v>893</v>
      </c>
      <c r="B1194" s="508" t="s">
        <v>648</v>
      </c>
      <c r="C1194" s="508" t="s">
        <v>397</v>
      </c>
      <c r="D1194" s="509">
        <v>1.5100000000000001E-3</v>
      </c>
      <c r="E1194" s="509">
        <v>1.5100000000000001E-3</v>
      </c>
      <c r="F1194" s="509">
        <v>1.5100000000000001E-3</v>
      </c>
      <c r="G1194" s="509">
        <v>1.5100000000000001E-3</v>
      </c>
      <c r="H1194" s="509">
        <v>1.5100000000000001E-3</v>
      </c>
      <c r="I1194" s="509">
        <f>'Cálculos PS'!B68</f>
        <v>1.5100000000000001E-3</v>
      </c>
      <c r="J1194" s="508"/>
    </row>
    <row r="1195" spans="1:10" ht="21" customHeight="1">
      <c r="A1195" s="507" t="s">
        <v>893</v>
      </c>
      <c r="B1195" s="508" t="s">
        <v>852</v>
      </c>
      <c r="C1195" s="508" t="s">
        <v>411</v>
      </c>
      <c r="D1195" s="509">
        <f>$D$1140</f>
        <v>8112322</v>
      </c>
      <c r="E1195" s="509">
        <f>$E$1140</f>
        <v>4217354</v>
      </c>
      <c r="F1195" s="509">
        <f>$F$1140</f>
        <v>26297</v>
      </c>
      <c r="G1195" s="509">
        <f>$G$1140</f>
        <v>5487594</v>
      </c>
      <c r="H1195" s="509">
        <f>$H$1140</f>
        <v>6327704</v>
      </c>
      <c r="I1195" s="509">
        <f>$I$1140</f>
        <v>12237914</v>
      </c>
      <c r="J1195" s="508"/>
    </row>
    <row r="1196" spans="1:10" ht="21" customHeight="1">
      <c r="A1196" s="507" t="s">
        <v>893</v>
      </c>
      <c r="B1196" s="508" t="s">
        <v>919</v>
      </c>
      <c r="C1196" s="508" t="s">
        <v>397</v>
      </c>
      <c r="D1196" s="509">
        <v>1.4E-5</v>
      </c>
      <c r="E1196" s="509">
        <v>1.4E-5</v>
      </c>
      <c r="F1196" s="509">
        <v>1.4E-5</v>
      </c>
      <c r="G1196" s="509">
        <v>1.4E-5</v>
      </c>
      <c r="H1196" s="509">
        <v>1.4E-5</v>
      </c>
      <c r="I1196" s="509">
        <f>'Cálculos PS'!J68</f>
        <v>1.4E-5</v>
      </c>
      <c r="J1196" s="508"/>
    </row>
    <row r="1197" spans="1:10" ht="21" customHeight="1">
      <c r="A1197" s="507" t="s">
        <v>893</v>
      </c>
      <c r="B1197" s="508" t="s">
        <v>920</v>
      </c>
      <c r="C1197" s="508" t="s">
        <v>411</v>
      </c>
      <c r="D1197" s="509">
        <f>$D$1141</f>
        <v>198463</v>
      </c>
      <c r="E1197" s="509">
        <f>$E$1141</f>
        <v>80964</v>
      </c>
      <c r="F1197" s="509">
        <f>$F$1141</f>
        <v>121550</v>
      </c>
      <c r="G1197" s="509">
        <f>$G$1141</f>
        <v>1226779</v>
      </c>
      <c r="H1197" s="509">
        <f>$H$1141</f>
        <v>287954</v>
      </c>
      <c r="I1197" s="509">
        <f>$I$1141</f>
        <v>473204</v>
      </c>
      <c r="J1197" s="508"/>
    </row>
    <row r="1198" spans="1:10" ht="21" customHeight="1">
      <c r="A1198" s="507" t="s">
        <v>893</v>
      </c>
      <c r="B1198" s="508" t="s">
        <v>921</v>
      </c>
      <c r="C1198" s="508" t="s">
        <v>397</v>
      </c>
      <c r="D1198" s="509">
        <v>0.13800000000000001</v>
      </c>
      <c r="E1198" s="509">
        <v>0.13800000000000001</v>
      </c>
      <c r="F1198" s="509">
        <v>0.13800000000000001</v>
      </c>
      <c r="G1198" s="509">
        <v>0.13800000000000001</v>
      </c>
      <c r="H1198" s="509">
        <v>0.13800000000000001</v>
      </c>
      <c r="I1198" s="509">
        <f>'Cálculos PS'!N68</f>
        <v>0.13800000000000001</v>
      </c>
      <c r="J1198" s="508"/>
    </row>
    <row r="1199" spans="1:10" ht="21" customHeight="1">
      <c r="A1199" s="507" t="s">
        <v>893</v>
      </c>
      <c r="B1199" s="508" t="s">
        <v>854</v>
      </c>
      <c r="C1199" s="508" t="s">
        <v>397</v>
      </c>
      <c r="D1199" s="509">
        <v>1000</v>
      </c>
      <c r="E1199" s="509">
        <v>1000</v>
      </c>
      <c r="F1199" s="509">
        <v>1000</v>
      </c>
      <c r="G1199" s="509">
        <v>1000</v>
      </c>
      <c r="H1199" s="509">
        <v>1000</v>
      </c>
      <c r="I1199" s="509">
        <f>'Cálculos PS'!B69</f>
        <v>1000</v>
      </c>
      <c r="J1199" s="508"/>
    </row>
    <row r="1200" spans="1:10" ht="21" customHeight="1">
      <c r="A1200" s="507" t="s">
        <v>893</v>
      </c>
      <c r="B1200" s="508" t="s">
        <v>855</v>
      </c>
      <c r="C1200" s="508" t="s">
        <v>397</v>
      </c>
      <c r="D1200" s="509">
        <v>2000</v>
      </c>
      <c r="E1200" s="509">
        <v>2000</v>
      </c>
      <c r="F1200" s="509">
        <v>2000</v>
      </c>
      <c r="G1200" s="509">
        <v>2000</v>
      </c>
      <c r="H1200" s="509">
        <v>2000</v>
      </c>
      <c r="I1200" s="509">
        <f>'Cálculos PS'!F69</f>
        <v>2000</v>
      </c>
      <c r="J1200" s="508"/>
    </row>
    <row r="1201" spans="1:10" ht="21" customHeight="1">
      <c r="A1201" s="507" t="s">
        <v>893</v>
      </c>
      <c r="B1201" s="508" t="s">
        <v>922</v>
      </c>
      <c r="C1201" s="508" t="s">
        <v>397</v>
      </c>
      <c r="D1201" s="509">
        <v>2000</v>
      </c>
      <c r="E1201" s="509">
        <v>2000</v>
      </c>
      <c r="F1201" s="509">
        <v>2000</v>
      </c>
      <c r="G1201" s="509">
        <v>2000</v>
      </c>
      <c r="H1201" s="509">
        <v>2000</v>
      </c>
      <c r="I1201" s="509">
        <f>'Cálculos PS'!P69</f>
        <v>2000</v>
      </c>
      <c r="J1201" s="508"/>
    </row>
    <row r="1202" spans="1:10" ht="21" customHeight="1">
      <c r="A1202" s="507" t="s">
        <v>893</v>
      </c>
      <c r="B1202" s="508" t="s">
        <v>588</v>
      </c>
      <c r="C1202" s="508" t="s">
        <v>411</v>
      </c>
      <c r="D1202" s="509">
        <f>(($D$1194/$D$1199)*$D$1195)/$D$1200</f>
        <v>6.1248031100000003E-3</v>
      </c>
      <c r="E1202" s="509">
        <f>(($E$1194/$E$1199)*$E$1195)/$E$1200</f>
        <v>3.1841022700000005E-3</v>
      </c>
      <c r="F1202" s="509">
        <f>(($F$1194/$F$1199)*$F$1195)/$F$1200</f>
        <v>1.9854235000000003E-5</v>
      </c>
      <c r="G1202" s="509">
        <f>(($G$1194/$G$1199)*$G$1195)/$G$1200</f>
        <v>4.1431334700000001E-3</v>
      </c>
      <c r="H1202" s="509">
        <f>(($H$1194/$H$1199)*$H$1195)/$H$1200</f>
        <v>4.7774165200000001E-3</v>
      </c>
      <c r="I1202" s="509">
        <f>(($I$1194/$I$1199)*$I$1195)/$I$1200</f>
        <v>9.2396250700000002E-3</v>
      </c>
      <c r="J1202" s="508"/>
    </row>
    <row r="1203" spans="1:10" ht="21" customHeight="1">
      <c r="A1203" s="507" t="s">
        <v>893</v>
      </c>
      <c r="B1203" s="508" t="s">
        <v>923</v>
      </c>
      <c r="C1203" s="508" t="s">
        <v>411</v>
      </c>
      <c r="D1203" s="509">
        <f>($D$1196*$D$1197*$D$1198)/$D$1201</f>
        <v>1.9171525799999999E-4</v>
      </c>
      <c r="E1203" s="509">
        <f>($E$1196*$E$1197*$E$1198)/$E$1201</f>
        <v>7.8211224000000013E-5</v>
      </c>
      <c r="F1203" s="509">
        <f>($F$1196*$F$1197*$F$1198)/$F$1201</f>
        <v>1.174173E-4</v>
      </c>
      <c r="G1203" s="509">
        <f>($G$1196*$G$1197*$G$1198)/$G$1201</f>
        <v>1.1850685140000002E-3</v>
      </c>
      <c r="H1203" s="509">
        <f>($H$1196*$H$1197*$H$1198)/$H$1201</f>
        <v>2.7816356400000002E-4</v>
      </c>
      <c r="I1203" s="509">
        <f>($I$1196*$I$1197*$I$1198)/$I$1201</f>
        <v>4.5711506400000009E-4</v>
      </c>
      <c r="J1203" s="508"/>
    </row>
    <row r="1204" spans="1:10" ht="21" customHeight="1">
      <c r="A1204" s="507" t="s">
        <v>893</v>
      </c>
      <c r="B1204" s="508" t="s">
        <v>858</v>
      </c>
      <c r="C1204" s="508" t="s">
        <v>411</v>
      </c>
      <c r="D1204" s="509">
        <f>$D$1144</f>
        <v>24.631667341468056</v>
      </c>
      <c r="E1204" s="509">
        <f>$E$1144</f>
        <v>24.631667341468056</v>
      </c>
      <c r="F1204" s="509">
        <f>$F$1144</f>
        <v>24.631667341468056</v>
      </c>
      <c r="G1204" s="509">
        <f>$G$1144</f>
        <v>24.631667341468056</v>
      </c>
      <c r="H1204" s="509">
        <f>$H$1144</f>
        <v>24.631667341468056</v>
      </c>
      <c r="I1204" s="509">
        <f>$I$1144</f>
        <v>24.631667341468056</v>
      </c>
      <c r="J1204" s="508"/>
    </row>
    <row r="1205" spans="1:10" ht="21" customHeight="1">
      <c r="A1205" s="507" t="s">
        <v>893</v>
      </c>
      <c r="B1205" s="508" t="s">
        <v>859</v>
      </c>
      <c r="C1205" s="508" t="s">
        <v>411</v>
      </c>
      <c r="D1205" s="509">
        <f>$D$1195</f>
        <v>8112322</v>
      </c>
      <c r="E1205" s="509">
        <f>$E$1195</f>
        <v>4217354</v>
      </c>
      <c r="F1205" s="509">
        <f>$F$1195</f>
        <v>26297</v>
      </c>
      <c r="G1205" s="509">
        <f>$G$1195</f>
        <v>5487594</v>
      </c>
      <c r="H1205" s="509">
        <f>$H$1195</f>
        <v>6327704</v>
      </c>
      <c r="I1205" s="509">
        <f>$I$1195</f>
        <v>12237914</v>
      </c>
      <c r="J1205" s="508"/>
    </row>
    <row r="1206" spans="1:10" ht="21" customHeight="1">
      <c r="A1206" s="507" t="s">
        <v>893</v>
      </c>
      <c r="B1206" s="508" t="s">
        <v>860</v>
      </c>
      <c r="C1206" s="508" t="s">
        <v>411</v>
      </c>
      <c r="D1206" s="509">
        <f>$D$1145</f>
        <v>22.578420600240001</v>
      </c>
      <c r="E1206" s="509">
        <f>$E$1145</f>
        <v>22.578420600240001</v>
      </c>
      <c r="F1206" s="509">
        <f>$F$1145</f>
        <v>22.578420600240001</v>
      </c>
      <c r="G1206" s="509">
        <f>$G$1145</f>
        <v>22.578420600240001</v>
      </c>
      <c r="H1206" s="509">
        <f>$H$1145</f>
        <v>22.578420600240001</v>
      </c>
      <c r="I1206" s="509">
        <f>$I$1145</f>
        <v>22.578420600240001</v>
      </c>
      <c r="J1206" s="508"/>
    </row>
    <row r="1207" spans="1:10" ht="21" customHeight="1">
      <c r="A1207" s="507" t="s">
        <v>893</v>
      </c>
      <c r="B1207" s="508" t="s">
        <v>861</v>
      </c>
      <c r="C1207" s="508" t="s">
        <v>411</v>
      </c>
      <c r="D1207" s="509">
        <f>$D$1197</f>
        <v>198463</v>
      </c>
      <c r="E1207" s="509">
        <f>$E$1197</f>
        <v>80964</v>
      </c>
      <c r="F1207" s="509">
        <f>$F$1197</f>
        <v>121550</v>
      </c>
      <c r="G1207" s="509">
        <f>$G$1197</f>
        <v>1226779</v>
      </c>
      <c r="H1207" s="509">
        <f>$H$1197</f>
        <v>287954</v>
      </c>
      <c r="I1207" s="509">
        <f>$I$1197</f>
        <v>473204</v>
      </c>
      <c r="J1207" s="508"/>
    </row>
    <row r="1208" spans="1:10" ht="21" customHeight="1">
      <c r="A1208" s="507" t="s">
        <v>893</v>
      </c>
      <c r="B1208" s="508" t="s">
        <v>862</v>
      </c>
      <c r="C1208" s="508" t="s">
        <v>397</v>
      </c>
      <c r="D1208" s="509">
        <v>2000</v>
      </c>
      <c r="E1208" s="509">
        <v>2000</v>
      </c>
      <c r="F1208" s="509">
        <v>2000</v>
      </c>
      <c r="G1208" s="509">
        <v>2000</v>
      </c>
      <c r="H1208" s="509">
        <v>2000</v>
      </c>
      <c r="I1208" s="509">
        <f>'Cálculos PS'!F79</f>
        <v>2000</v>
      </c>
      <c r="J1208" s="508"/>
    </row>
    <row r="1209" spans="1:10" ht="21" customHeight="1">
      <c r="A1209" s="507" t="s">
        <v>893</v>
      </c>
      <c r="B1209" s="508" t="s">
        <v>863</v>
      </c>
      <c r="C1209" s="508" t="s">
        <v>397</v>
      </c>
      <c r="D1209" s="509">
        <v>2000</v>
      </c>
      <c r="E1209" s="509">
        <v>2000</v>
      </c>
      <c r="F1209" s="509">
        <v>2000</v>
      </c>
      <c r="G1209" s="509">
        <v>2000</v>
      </c>
      <c r="H1209" s="509">
        <v>2000</v>
      </c>
      <c r="I1209" s="509">
        <f>'Cálculos PS'!O79</f>
        <v>2000</v>
      </c>
      <c r="J1209" s="508"/>
    </row>
    <row r="1210" spans="1:10" ht="21" customHeight="1">
      <c r="A1210" s="507" t="s">
        <v>893</v>
      </c>
      <c r="B1210" s="508" t="s">
        <v>742</v>
      </c>
      <c r="C1210" s="508" t="s">
        <v>411</v>
      </c>
      <c r="D1210" s="509">
        <f>$D$1204*$D$1205/$D$1208</f>
        <v>99910.008435436408</v>
      </c>
      <c r="E1210" s="509">
        <f>$E$1204*$E$1205/$E$1208</f>
        <v>51940.230394604834</v>
      </c>
      <c r="F1210" s="509">
        <f>$F$1204*$F$1205/$F$1208</f>
        <v>323.86947803929274</v>
      </c>
      <c r="G1210" s="509">
        <f>$G$1204*$G$1205/$G$1208</f>
        <v>67584.294956518017</v>
      </c>
      <c r="H1210" s="509">
        <f>$H$1204*$H$1205/$H$1208</f>
        <v>77930.94998163839</v>
      </c>
      <c r="I1210" s="509">
        <f>$I$1204*$I$1205/$I$1208</f>
        <v>150720.11330074735</v>
      </c>
      <c r="J1210" s="508"/>
    </row>
    <row r="1211" spans="1:10" ht="21" customHeight="1">
      <c r="A1211" s="507" t="s">
        <v>893</v>
      </c>
      <c r="B1211" s="508" t="s">
        <v>864</v>
      </c>
      <c r="C1211" s="508" t="s">
        <v>411</v>
      </c>
      <c r="D1211" s="509">
        <f>$D$1206*$D$1207/$D$1209</f>
        <v>2240.4905437927159</v>
      </c>
      <c r="E1211" s="509">
        <f>$E$1206*$E$1207/$E$1209</f>
        <v>914.0196227389157</v>
      </c>
      <c r="F1211" s="509">
        <f>$F$1206*$F$1207/$F$1209</f>
        <v>1372.203511979586</v>
      </c>
      <c r="G1211" s="509">
        <f>$G$1206*$G$1207/$G$1209</f>
        <v>13849.366122770914</v>
      </c>
      <c r="H1211" s="509">
        <f>$H$1206*$H$1207/$H$1209</f>
        <v>3250.7732627607547</v>
      </c>
      <c r="I1211" s="509">
        <f>$I$1206*$I$1207/$I$1209</f>
        <v>5342.0994708579847</v>
      </c>
      <c r="J1211" s="508"/>
    </row>
    <row r="1212" spans="1:10" ht="21" customHeight="1">
      <c r="A1212" s="510" t="s">
        <v>924</v>
      </c>
      <c r="B1212" s="506"/>
      <c r="C1212" s="506"/>
      <c r="D1212" s="511"/>
      <c r="E1212" s="511"/>
      <c r="F1212" s="511"/>
      <c r="G1212" s="511"/>
      <c r="H1212" s="511"/>
      <c r="I1212" s="512"/>
      <c r="J1212" s="506"/>
    </row>
    <row r="1213" spans="1:10" ht="21" customHeight="1">
      <c r="A1213" s="507" t="s">
        <v>924</v>
      </c>
      <c r="B1213" s="508" t="s">
        <v>592</v>
      </c>
      <c r="C1213" s="508" t="s">
        <v>397</v>
      </c>
      <c r="D1213" s="509">
        <v>0.11</v>
      </c>
      <c r="E1213" s="509">
        <v>0.11</v>
      </c>
      <c r="F1213" s="509">
        <v>0.11</v>
      </c>
      <c r="G1213" s="509">
        <v>0.11</v>
      </c>
      <c r="H1213" s="509">
        <v>0.11</v>
      </c>
      <c r="I1213" s="509">
        <f>'MPs PS'!B4</f>
        <v>0.11</v>
      </c>
      <c r="J1213" s="508" t="s">
        <v>14</v>
      </c>
    </row>
    <row r="1214" spans="1:10" ht="21" customHeight="1">
      <c r="A1214" s="507" t="s">
        <v>924</v>
      </c>
      <c r="B1214" s="508" t="s">
        <v>593</v>
      </c>
      <c r="C1214" s="508" t="s">
        <v>397</v>
      </c>
      <c r="D1214" s="509">
        <v>0.1731</v>
      </c>
      <c r="E1214" s="509">
        <v>0.1731</v>
      </c>
      <c r="F1214" s="509">
        <v>0.1731</v>
      </c>
      <c r="G1214" s="509">
        <v>0.1731</v>
      </c>
      <c r="H1214" s="509">
        <v>0.1731</v>
      </c>
      <c r="I1214" s="509">
        <f>'MPs PS'!C4</f>
        <v>0.1731</v>
      </c>
      <c r="J1214" s="508" t="s">
        <v>14</v>
      </c>
    </row>
    <row r="1215" spans="1:10" ht="21" customHeight="1">
      <c r="A1215" s="507" t="s">
        <v>924</v>
      </c>
      <c r="B1215" s="508" t="s">
        <v>925</v>
      </c>
      <c r="C1215" s="508" t="s">
        <v>411</v>
      </c>
      <c r="D1215" s="509">
        <f>$D$1248</f>
        <v>5.4667588616999998</v>
      </c>
      <c r="E1215" s="509">
        <f>$E$1248</f>
        <v>1.9529232012000002</v>
      </c>
      <c r="F1215" s="509">
        <f>$F$1248</f>
        <v>1.7110114506000003</v>
      </c>
      <c r="G1215" s="509">
        <f>$G$1248</f>
        <v>32.380235385300004</v>
      </c>
      <c r="H1215" s="509">
        <f>$H$1248</f>
        <v>0.60377608890000012</v>
      </c>
      <c r="I1215" s="509">
        <f>$I$1248</f>
        <v>6.6606248748600008E-3</v>
      </c>
      <c r="J1215" s="508" t="s">
        <v>14</v>
      </c>
    </row>
    <row r="1216" spans="1:10" ht="21" customHeight="1">
      <c r="A1216" s="507" t="s">
        <v>924</v>
      </c>
      <c r="B1216" s="508" t="s">
        <v>396</v>
      </c>
      <c r="C1216" s="508" t="s">
        <v>397</v>
      </c>
      <c r="D1216" s="509">
        <v>7.6999999999999999E-2</v>
      </c>
      <c r="E1216" s="509">
        <v>7.6999999999999999E-2</v>
      </c>
      <c r="F1216" s="509">
        <v>7.6999999999999999E-2</v>
      </c>
      <c r="G1216" s="509">
        <v>7.6999999999999999E-2</v>
      </c>
      <c r="H1216" s="509">
        <v>7.6999999999999999E-2</v>
      </c>
      <c r="I1216" s="509">
        <f>'MPs PS'!B5</f>
        <v>7.6999999999999999E-2</v>
      </c>
      <c r="J1216" s="508" t="s">
        <v>15</v>
      </c>
    </row>
    <row r="1217" spans="1:10" ht="21" customHeight="1">
      <c r="A1217" s="507" t="s">
        <v>924</v>
      </c>
      <c r="B1217" s="508" t="s">
        <v>399</v>
      </c>
      <c r="C1217" s="508" t="s">
        <v>397</v>
      </c>
      <c r="D1217" s="509">
        <v>3.4299999999999997E-2</v>
      </c>
      <c r="E1217" s="509">
        <v>3.4299999999999997E-2</v>
      </c>
      <c r="F1217" s="509">
        <v>3.4299999999999997E-2</v>
      </c>
      <c r="G1217" s="509">
        <v>3.4299999999999997E-2</v>
      </c>
      <c r="H1217" s="509">
        <v>3.4299999999999997E-2</v>
      </c>
      <c r="I1217" s="509">
        <f>'MPs PS'!C5</f>
        <v>3.4299999999999997E-2</v>
      </c>
      <c r="J1217" s="508" t="s">
        <v>15</v>
      </c>
    </row>
    <row r="1218" spans="1:10" ht="21" customHeight="1">
      <c r="A1218" s="507" t="s">
        <v>924</v>
      </c>
      <c r="B1218" s="508" t="s">
        <v>400</v>
      </c>
      <c r="C1218" s="508" t="s">
        <v>411</v>
      </c>
      <c r="D1218" s="509">
        <f>$D$1255</f>
        <v>1.0832456901</v>
      </c>
      <c r="E1218" s="509">
        <f>$E$1255</f>
        <v>0.38697438360000003</v>
      </c>
      <c r="F1218" s="509">
        <f>$F$1255</f>
        <v>0.3390392418</v>
      </c>
      <c r="G1218" s="509">
        <f>$G$1255</f>
        <v>6.4161876008999998</v>
      </c>
      <c r="H1218" s="509">
        <f>$H$1255</f>
        <v>0.1196390517</v>
      </c>
      <c r="I1218" s="509">
        <f>$I$1255</f>
        <v>4.6624374124019999E-3</v>
      </c>
      <c r="J1218" s="508" t="s">
        <v>15</v>
      </c>
    </row>
    <row r="1219" spans="1:10" ht="21" customHeight="1">
      <c r="A1219" s="507" t="s">
        <v>924</v>
      </c>
      <c r="B1219" s="508" t="s">
        <v>407</v>
      </c>
      <c r="C1219" s="508" t="s">
        <v>397</v>
      </c>
      <c r="D1219" s="509">
        <v>8.0999999999999996E-3</v>
      </c>
      <c r="E1219" s="509">
        <v>8.0999999999999996E-3</v>
      </c>
      <c r="F1219" s="509">
        <v>8.0999999999999996E-3</v>
      </c>
      <c r="G1219" s="509">
        <v>8.0999999999999996E-3</v>
      </c>
      <c r="H1219" s="509">
        <v>8.0999999999999996E-3</v>
      </c>
      <c r="I1219" s="509">
        <f>'MPs PS'!B6</f>
        <v>8.0999999999999996E-3</v>
      </c>
      <c r="J1219" s="508" t="s">
        <v>16</v>
      </c>
    </row>
    <row r="1220" spans="1:10" ht="21" customHeight="1">
      <c r="A1220" s="507" t="s">
        <v>924</v>
      </c>
      <c r="B1220" s="508" t="s">
        <v>409</v>
      </c>
      <c r="C1220" s="508" t="s">
        <v>397</v>
      </c>
      <c r="D1220" s="509">
        <v>7.1000000000000004E-3</v>
      </c>
      <c r="E1220" s="509">
        <v>7.1000000000000004E-3</v>
      </c>
      <c r="F1220" s="509">
        <v>7.1000000000000004E-3</v>
      </c>
      <c r="G1220" s="509">
        <v>7.1000000000000004E-3</v>
      </c>
      <c r="H1220" s="509">
        <v>7.1000000000000004E-3</v>
      </c>
      <c r="I1220" s="509">
        <f>'MPs PS'!C6</f>
        <v>7.1000000000000004E-3</v>
      </c>
      <c r="J1220" s="508" t="s">
        <v>16</v>
      </c>
    </row>
    <row r="1221" spans="1:10" ht="21" customHeight="1">
      <c r="A1221" s="507" t="s">
        <v>924</v>
      </c>
      <c r="B1221" s="508" t="s">
        <v>410</v>
      </c>
      <c r="C1221" s="508" t="s">
        <v>411</v>
      </c>
      <c r="D1221" s="509">
        <f>$D$1262</f>
        <v>0.22422869970000003</v>
      </c>
      <c r="E1221" s="509">
        <f>$E$1262</f>
        <v>8.0102569200000015E-2</v>
      </c>
      <c r="F1221" s="509">
        <f>$F$1262</f>
        <v>7.0180134600000013E-2</v>
      </c>
      <c r="G1221" s="509">
        <f>$G$1262</f>
        <v>1.3281321273000002</v>
      </c>
      <c r="H1221" s="509">
        <f>$H$1262</f>
        <v>2.4764934900000004E-2</v>
      </c>
      <c r="I1221" s="509">
        <f>$I$1262</f>
        <v>4.9046419533060003E-4</v>
      </c>
      <c r="J1221" s="508" t="s">
        <v>16</v>
      </c>
    </row>
    <row r="1222" spans="1:10" ht="21" customHeight="1">
      <c r="A1222" s="507" t="s">
        <v>924</v>
      </c>
      <c r="B1222" s="508" t="s">
        <v>431</v>
      </c>
      <c r="C1222" s="508" t="s">
        <v>397</v>
      </c>
      <c r="D1222" s="509">
        <v>0.01</v>
      </c>
      <c r="E1222" s="509">
        <v>0.01</v>
      </c>
      <c r="F1222" s="509">
        <v>0.01</v>
      </c>
      <c r="G1222" s="509">
        <v>0.01</v>
      </c>
      <c r="H1222" s="509">
        <v>0.01</v>
      </c>
      <c r="I1222" s="509">
        <f>'MPs PS'!B8</f>
        <v>0.01</v>
      </c>
      <c r="J1222" s="508" t="s">
        <v>12</v>
      </c>
    </row>
    <row r="1223" spans="1:10" ht="21" customHeight="1">
      <c r="A1223" s="507" t="s">
        <v>924</v>
      </c>
      <c r="B1223" s="508" t="s">
        <v>433</v>
      </c>
      <c r="C1223" s="508" t="s">
        <v>397</v>
      </c>
      <c r="D1223" s="509">
        <v>1.77E-2</v>
      </c>
      <c r="E1223" s="509">
        <v>1.77E-2</v>
      </c>
      <c r="F1223" s="509">
        <v>1.77E-2</v>
      </c>
      <c r="G1223" s="509">
        <v>1.77E-2</v>
      </c>
      <c r="H1223" s="509">
        <v>1.77E-2</v>
      </c>
      <c r="I1223" s="509">
        <f>'MPs PS'!C8</f>
        <v>1.77E-2</v>
      </c>
      <c r="J1223" s="508" t="s">
        <v>12</v>
      </c>
    </row>
    <row r="1224" spans="1:10" ht="21" customHeight="1">
      <c r="A1224" s="507" t="s">
        <v>924</v>
      </c>
      <c r="B1224" s="508" t="s">
        <v>434</v>
      </c>
      <c r="C1224" s="508" t="s">
        <v>411</v>
      </c>
      <c r="D1224" s="509">
        <f>$D$1269</f>
        <v>0.55899267389999996</v>
      </c>
      <c r="E1224" s="509">
        <f>$E$1269</f>
        <v>0.19969232040000004</v>
      </c>
      <c r="F1224" s="509">
        <f>$F$1269</f>
        <v>0.17495611020000004</v>
      </c>
      <c r="G1224" s="509">
        <f>$G$1269</f>
        <v>3.3109772751000004</v>
      </c>
      <c r="H1224" s="509">
        <f>$H$1269</f>
        <v>6.1737936300000011E-2</v>
      </c>
      <c r="I1224" s="509">
        <f>$I$1269</f>
        <v>6.0551135226000012E-4</v>
      </c>
      <c r="J1224" s="508" t="s">
        <v>12</v>
      </c>
    </row>
    <row r="1225" spans="1:10" ht="21" customHeight="1">
      <c r="A1225" s="507" t="s">
        <v>924</v>
      </c>
      <c r="B1225" s="508" t="s">
        <v>440</v>
      </c>
      <c r="C1225" s="508" t="s">
        <v>397</v>
      </c>
      <c r="D1225" s="509">
        <v>0.01</v>
      </c>
      <c r="E1225" s="509">
        <v>0.01</v>
      </c>
      <c r="F1225" s="509">
        <v>0.01</v>
      </c>
      <c r="G1225" s="509">
        <v>0.01</v>
      </c>
      <c r="H1225" s="509">
        <v>0.01</v>
      </c>
      <c r="I1225" s="509">
        <f>'MPs PS'!B9</f>
        <v>0.01</v>
      </c>
      <c r="J1225" s="508" t="s">
        <v>34</v>
      </c>
    </row>
    <row r="1226" spans="1:10" ht="21" customHeight="1">
      <c r="A1226" s="507" t="s">
        <v>924</v>
      </c>
      <c r="B1226" s="508" t="s">
        <v>442</v>
      </c>
      <c r="C1226" s="508" t="s">
        <v>397</v>
      </c>
      <c r="D1226" s="509">
        <v>1.77E-2</v>
      </c>
      <c r="E1226" s="509">
        <v>1.77E-2</v>
      </c>
      <c r="F1226" s="509">
        <v>1.77E-2</v>
      </c>
      <c r="G1226" s="509">
        <v>1.77E-2</v>
      </c>
      <c r="H1226" s="509">
        <v>1.77E-2</v>
      </c>
      <c r="I1226" s="509">
        <f>'MPs PS'!C9</f>
        <v>1.77E-2</v>
      </c>
      <c r="J1226" s="508" t="s">
        <v>34</v>
      </c>
    </row>
    <row r="1227" spans="1:10" ht="21" customHeight="1">
      <c r="A1227" s="507" t="s">
        <v>924</v>
      </c>
      <c r="B1227" s="508" t="s">
        <v>443</v>
      </c>
      <c r="C1227" s="508" t="s">
        <v>411</v>
      </c>
      <c r="D1227" s="509">
        <f>$D$1276</f>
        <v>0.55899267389999996</v>
      </c>
      <c r="E1227" s="509">
        <f>$E$1276</f>
        <v>0.19969232040000004</v>
      </c>
      <c r="F1227" s="509">
        <f>$F$1276</f>
        <v>0.17495611020000004</v>
      </c>
      <c r="G1227" s="509">
        <f>$G$1276</f>
        <v>3.3109772751000004</v>
      </c>
      <c r="H1227" s="509">
        <f>$H$1276</f>
        <v>6.1737936300000011E-2</v>
      </c>
      <c r="I1227" s="509">
        <f>$I$1276</f>
        <v>6.0551135226000012E-4</v>
      </c>
      <c r="J1227" s="508" t="s">
        <v>34</v>
      </c>
    </row>
    <row r="1228" spans="1:10" ht="21" customHeight="1">
      <c r="A1228" s="507" t="s">
        <v>924</v>
      </c>
      <c r="B1228" s="508" t="s">
        <v>450</v>
      </c>
      <c r="C1228" s="508" t="s">
        <v>411</v>
      </c>
      <c r="D1228" s="509">
        <f>1*2/7000/100/1026*1000000</f>
        <v>2.7847396268448903E-3</v>
      </c>
      <c r="E1228" s="509">
        <f>1*2/7000/100/1026*1000000</f>
        <v>2.7847396268448903E-3</v>
      </c>
      <c r="F1228" s="509">
        <f>1*2/7000/100/1026*1000000</f>
        <v>2.7847396268448903E-3</v>
      </c>
      <c r="G1228" s="509">
        <f>1*2/7000/100/1026*1000000</f>
        <v>2.7847396268448903E-3</v>
      </c>
      <c r="H1228" s="509">
        <f>1*2/7000/100/1026*1000000</f>
        <v>2.7847396268448903E-3</v>
      </c>
      <c r="I1228" s="509">
        <f>1*2/7000/100/1026*1000000</f>
        <v>2.7847396268448903E-3</v>
      </c>
      <c r="J1228" s="508" t="s">
        <v>13</v>
      </c>
    </row>
    <row r="1229" spans="1:10" ht="21" customHeight="1">
      <c r="A1229" s="507" t="s">
        <v>924</v>
      </c>
      <c r="B1229" s="508" t="s">
        <v>452</v>
      </c>
      <c r="C1229" s="508" t="s">
        <v>397</v>
      </c>
      <c r="D1229" s="509">
        <v>1.5E-3</v>
      </c>
      <c r="E1229" s="509">
        <v>1.5E-3</v>
      </c>
      <c r="F1229" s="509">
        <v>1.5E-3</v>
      </c>
      <c r="G1229" s="509">
        <v>1.5E-3</v>
      </c>
      <c r="H1229" s="509">
        <v>1.5E-3</v>
      </c>
      <c r="I1229" s="509">
        <f>'MPs PS'!C10</f>
        <v>1.5E-3</v>
      </c>
      <c r="J1229" s="508" t="s">
        <v>13</v>
      </c>
    </row>
    <row r="1230" spans="1:10" ht="21" customHeight="1">
      <c r="A1230" s="507" t="s">
        <v>924</v>
      </c>
      <c r="B1230" s="508" t="s">
        <v>453</v>
      </c>
      <c r="C1230" s="508" t="s">
        <v>411</v>
      </c>
      <c r="D1230" s="509">
        <f>$D$1283</f>
        <v>4.7372260500609165E-2</v>
      </c>
      <c r="E1230" s="509">
        <f>$E$1283</f>
        <v>1.6923078000609167E-2</v>
      </c>
      <c r="F1230" s="509">
        <f>$F$1283</f>
        <v>1.4826789000609165E-2</v>
      </c>
      <c r="G1230" s="509">
        <f>$G$1283</f>
        <v>0.28059129450060916</v>
      </c>
      <c r="H1230" s="509">
        <f>$H$1283</f>
        <v>5.2320285006091614E-3</v>
      </c>
      <c r="I1230" s="509">
        <f>$I$1283</f>
        <v>6.0916179337231978E-13</v>
      </c>
      <c r="J1230" s="508" t="s">
        <v>13</v>
      </c>
    </row>
    <row r="1231" spans="1:10" ht="21" customHeight="1">
      <c r="A1231" s="507" t="s">
        <v>924</v>
      </c>
      <c r="B1231" s="508" t="s">
        <v>459</v>
      </c>
      <c r="C1231" s="508" t="s">
        <v>411</v>
      </c>
      <c r="D1231" s="509">
        <f>$D$1228*0.1*98/64</f>
        <v>4.2641325536062387E-4</v>
      </c>
      <c r="E1231" s="509">
        <f>$E$1228*0.1*98/64</f>
        <v>4.2641325536062387E-4</v>
      </c>
      <c r="F1231" s="509">
        <f>$F$1228*0.1*98/64</f>
        <v>4.2641325536062387E-4</v>
      </c>
      <c r="G1231" s="509">
        <f>$G$1228*0.1*98/64</f>
        <v>4.2641325536062387E-4</v>
      </c>
      <c r="H1231" s="509">
        <f>$H$1228*0.1*98/64</f>
        <v>4.2641325536062387E-4</v>
      </c>
      <c r="I1231" s="509">
        <f>$I$1228*0.1*98/64</f>
        <v>4.2641325536062387E-4</v>
      </c>
      <c r="J1231" s="508" t="s">
        <v>36</v>
      </c>
    </row>
    <row r="1232" spans="1:10" ht="21" customHeight="1">
      <c r="A1232" s="507" t="s">
        <v>924</v>
      </c>
      <c r="B1232" s="508" t="s">
        <v>461</v>
      </c>
      <c r="C1232" s="508" t="s">
        <v>411</v>
      </c>
      <c r="D1232" s="509">
        <f>$D$1229*0.1*98/64</f>
        <v>2.2968750000000002E-4</v>
      </c>
      <c r="E1232" s="509">
        <f>$E$1229*0.1*98/64</f>
        <v>2.2968750000000002E-4</v>
      </c>
      <c r="F1232" s="509">
        <f>$F$1229*0.1*98/64</f>
        <v>2.2968750000000002E-4</v>
      </c>
      <c r="G1232" s="509">
        <f>$G$1229*0.1*98/64</f>
        <v>2.2968750000000002E-4</v>
      </c>
      <c r="H1232" s="509">
        <f>$H$1229*0.1*98/64</f>
        <v>2.2968750000000002E-4</v>
      </c>
      <c r="I1232" s="509">
        <f>$I$1229*0.1*98/64</f>
        <v>2.2968750000000002E-4</v>
      </c>
      <c r="J1232" s="508" t="s">
        <v>36</v>
      </c>
    </row>
    <row r="1233" spans="1:10" ht="21" customHeight="1">
      <c r="A1233" s="507" t="s">
        <v>924</v>
      </c>
      <c r="B1233" s="508" t="s">
        <v>755</v>
      </c>
      <c r="C1233" s="508" t="s">
        <v>411</v>
      </c>
      <c r="D1233" s="509">
        <f>$D$1290</f>
        <v>7.2538773890625007E-3</v>
      </c>
      <c r="E1233" s="509">
        <f>$E$1290</f>
        <v>2.5913463187500008E-3</v>
      </c>
      <c r="F1233" s="509">
        <f>$F$1290</f>
        <v>2.2703520656250004E-3</v>
      </c>
      <c r="G1233" s="509">
        <f>$G$1290</f>
        <v>4.2965541970312507E-2</v>
      </c>
      <c r="H1233" s="509">
        <f>$H$1290</f>
        <v>8.0115436406250008E-4</v>
      </c>
      <c r="I1233" s="509">
        <f>$I$1290</f>
        <v>2.581980668750001E-5</v>
      </c>
      <c r="J1233" s="508" t="s">
        <v>36</v>
      </c>
    </row>
    <row r="1234" spans="1:10" ht="21" customHeight="1">
      <c r="A1234" s="507" t="s">
        <v>924</v>
      </c>
      <c r="B1234" s="508" t="s">
        <v>464</v>
      </c>
      <c r="C1234" s="508" t="s">
        <v>397</v>
      </c>
      <c r="D1234" s="509">
        <v>0</v>
      </c>
      <c r="E1234" s="509">
        <v>0</v>
      </c>
      <c r="F1234" s="509">
        <v>0</v>
      </c>
      <c r="G1234" s="509">
        <v>0</v>
      </c>
      <c r="H1234" s="509">
        <v>0</v>
      </c>
      <c r="I1234" s="509">
        <f>'MPs PS'!B12</f>
        <v>0</v>
      </c>
      <c r="J1234" s="508" t="s">
        <v>17</v>
      </c>
    </row>
    <row r="1235" spans="1:10" ht="21" customHeight="1">
      <c r="A1235" s="507" t="s">
        <v>924</v>
      </c>
      <c r="B1235" s="508" t="s">
        <v>466</v>
      </c>
      <c r="C1235" s="508" t="s">
        <v>397</v>
      </c>
      <c r="D1235" s="509">
        <v>1.4E-5</v>
      </c>
      <c r="E1235" s="509">
        <v>1.4E-5</v>
      </c>
      <c r="F1235" s="509">
        <v>1.4E-5</v>
      </c>
      <c r="G1235" s="509">
        <v>1.4E-5</v>
      </c>
      <c r="H1235" s="509">
        <v>1.4E-5</v>
      </c>
      <c r="I1235" s="509">
        <f>'MPs PS'!C12</f>
        <v>1.4E-5</v>
      </c>
      <c r="J1235" s="508" t="s">
        <v>17</v>
      </c>
    </row>
    <row r="1236" spans="1:10" ht="21" customHeight="1">
      <c r="A1236" s="507" t="s">
        <v>924</v>
      </c>
      <c r="B1236" s="508" t="s">
        <v>926</v>
      </c>
      <c r="C1236" s="508" t="s">
        <v>411</v>
      </c>
      <c r="D1236" s="509">
        <f>$D$1297</f>
        <v>4.42141098E-4</v>
      </c>
      <c r="E1236" s="509">
        <f>$E$1297</f>
        <v>1.57948728E-4</v>
      </c>
      <c r="F1236" s="509">
        <f>$F$1297</f>
        <v>1.3838336400000002E-4</v>
      </c>
      <c r="G1236" s="509">
        <f>$G$1297</f>
        <v>2.6188520820000002E-3</v>
      </c>
      <c r="H1236" s="509">
        <f>$H$1297</f>
        <v>4.8832265999999997E-5</v>
      </c>
      <c r="I1236" s="509">
        <f>$I$1297</f>
        <v>0</v>
      </c>
      <c r="J1236" s="508" t="s">
        <v>17</v>
      </c>
    </row>
    <row r="1237" spans="1:10" ht="21" customHeight="1">
      <c r="A1237" s="507" t="s">
        <v>924</v>
      </c>
      <c r="B1237" s="508" t="s">
        <v>469</v>
      </c>
      <c r="C1237" s="508" t="s">
        <v>411</v>
      </c>
      <c r="D1237" s="509">
        <f>(53.06+0.001*25+0.0001*298)*2.2046</f>
        <v>117.09688808000001</v>
      </c>
      <c r="E1237" s="509">
        <f>(53.06+0.001*25+0.0001*298)*2.2046</f>
        <v>117.09688808000001</v>
      </c>
      <c r="F1237" s="509">
        <f>(53.06+0.001*25+0.0001*298)*2.2046</f>
        <v>117.09688808000001</v>
      </c>
      <c r="G1237" s="509">
        <f>(53.06+0.001*25+0.0001*298)*2.2046</f>
        <v>117.09688808000001</v>
      </c>
      <c r="H1237" s="509">
        <f>(53.06+0.001*25+0.0001*298)*2.2046</f>
        <v>117.09688808000001</v>
      </c>
      <c r="I1237" s="509">
        <f>(53.06+0.001*25+0.0001*298)*2.2046</f>
        <v>117.09688808000001</v>
      </c>
      <c r="J1237" s="508" t="s">
        <v>18</v>
      </c>
    </row>
    <row r="1238" spans="1:10" ht="21" customHeight="1">
      <c r="A1238" s="507" t="s">
        <v>924</v>
      </c>
      <c r="B1238" s="508" t="s">
        <v>471</v>
      </c>
      <c r="C1238" s="508" t="s">
        <v>397</v>
      </c>
      <c r="D1238" s="509">
        <v>163.61000000000001</v>
      </c>
      <c r="E1238" s="509">
        <v>163.61000000000001</v>
      </c>
      <c r="F1238" s="509">
        <v>163.61000000000001</v>
      </c>
      <c r="G1238" s="509">
        <v>163.61000000000001</v>
      </c>
      <c r="H1238" s="509">
        <v>163.61000000000001</v>
      </c>
      <c r="I1238" s="509">
        <f>'MPs PS'!C13</f>
        <v>163.61000000000001</v>
      </c>
      <c r="J1238" s="508" t="s">
        <v>18</v>
      </c>
    </row>
    <row r="1239" spans="1:10" ht="21" customHeight="1">
      <c r="A1239" s="507" t="s">
        <v>924</v>
      </c>
      <c r="B1239" s="508" t="s">
        <v>661</v>
      </c>
      <c r="C1239" s="508" t="s">
        <v>411</v>
      </c>
      <c r="D1239" s="509">
        <f>$D$1304</f>
        <v>5167.0506886620524</v>
      </c>
      <c r="E1239" s="509">
        <f>$E$1304</f>
        <v>1845.8566450334711</v>
      </c>
      <c r="F1239" s="509">
        <f>$F$1304</f>
        <v>1617.2074016416623</v>
      </c>
      <c r="G1239" s="509">
        <f>$G$1304</f>
        <v>30605.029740533526</v>
      </c>
      <c r="H1239" s="509">
        <f>$H$1304</f>
        <v>570.67482485925461</v>
      </c>
      <c r="I1239" s="509">
        <f>$I$1304</f>
        <v>4.0010842254885934E-7</v>
      </c>
      <c r="J1239" s="508" t="s">
        <v>18</v>
      </c>
    </row>
    <row r="1240" spans="1:10" ht="21" customHeight="1">
      <c r="A1240" s="507" t="s">
        <v>924</v>
      </c>
      <c r="B1240" s="508" t="s">
        <v>484</v>
      </c>
      <c r="C1240" s="508" t="s">
        <v>411</v>
      </c>
      <c r="D1240" s="509">
        <f>$D$1094</f>
        <v>457703</v>
      </c>
      <c r="E1240" s="509">
        <f>$E$1102</f>
        <v>163508</v>
      </c>
      <c r="F1240" s="509">
        <f>$F$1110</f>
        <v>143254</v>
      </c>
      <c r="G1240" s="509">
        <f>$G$1118</f>
        <v>2711027</v>
      </c>
      <c r="H1240" s="509">
        <f>$H$1126</f>
        <v>50551</v>
      </c>
      <c r="I1240" s="509">
        <f>$I$1134</f>
        <v>0</v>
      </c>
      <c r="J1240" s="508" t="s">
        <v>756</v>
      </c>
    </row>
    <row r="1241" spans="1:10" ht="21" customHeight="1">
      <c r="A1241" s="507" t="s">
        <v>924</v>
      </c>
      <c r="B1241" s="508" t="s">
        <v>489</v>
      </c>
      <c r="C1241" s="508" t="s">
        <v>411</v>
      </c>
      <c r="D1241" s="509">
        <f>$D$1098</f>
        <v>0</v>
      </c>
      <c r="E1241" s="509">
        <f>$E$1106</f>
        <v>0</v>
      </c>
      <c r="F1241" s="509">
        <f>$F$1114</f>
        <v>0</v>
      </c>
      <c r="G1241" s="509">
        <f>$G$1122</f>
        <v>0</v>
      </c>
      <c r="H1241" s="509">
        <f>$H$1130</f>
        <v>0</v>
      </c>
      <c r="I1241" s="509">
        <f>$I$1138</f>
        <v>118033.402</v>
      </c>
      <c r="J1241" s="508" t="s">
        <v>597</v>
      </c>
    </row>
    <row r="1242" spans="1:10" ht="21" customHeight="1">
      <c r="A1242" s="507" t="s">
        <v>924</v>
      </c>
      <c r="B1242" s="508" t="s">
        <v>598</v>
      </c>
      <c r="C1242" s="508" t="s">
        <v>411</v>
      </c>
      <c r="D1242" s="509">
        <f>$D$1240</f>
        <v>457703</v>
      </c>
      <c r="E1242" s="509">
        <f>$E$1240</f>
        <v>163508</v>
      </c>
      <c r="F1242" s="509">
        <f>$F$1240</f>
        <v>143254</v>
      </c>
      <c r="G1242" s="509">
        <f>$G$1240</f>
        <v>2711027</v>
      </c>
      <c r="H1242" s="509">
        <f>$H$1240</f>
        <v>50551</v>
      </c>
      <c r="I1242" s="509">
        <f>$I$1240</f>
        <v>0</v>
      </c>
      <c r="J1242" s="508" t="s">
        <v>132</v>
      </c>
    </row>
    <row r="1243" spans="1:10" ht="21" customHeight="1">
      <c r="A1243" s="507" t="s">
        <v>924</v>
      </c>
      <c r="B1243" s="508" t="s">
        <v>599</v>
      </c>
      <c r="C1243" s="508" t="s">
        <v>397</v>
      </c>
      <c r="D1243" s="509">
        <v>0.13800000000000001</v>
      </c>
      <c r="E1243" s="509">
        <v>0.13800000000000001</v>
      </c>
      <c r="F1243" s="509">
        <v>0.13800000000000001</v>
      </c>
      <c r="G1243" s="509">
        <v>0.13800000000000001</v>
      </c>
      <c r="H1243" s="509">
        <v>0.13800000000000001</v>
      </c>
      <c r="I1243" s="509">
        <f>'MPs PS'!E20</f>
        <v>0.13800000000000001</v>
      </c>
      <c r="J1243" s="508" t="s">
        <v>132</v>
      </c>
    </row>
    <row r="1244" spans="1:10" ht="21" customHeight="1">
      <c r="A1244" s="507" t="s">
        <v>924</v>
      </c>
      <c r="B1244" s="508" t="s">
        <v>600</v>
      </c>
      <c r="C1244" s="508" t="s">
        <v>411</v>
      </c>
      <c r="D1244" s="509">
        <f>$D$1214</f>
        <v>0.1731</v>
      </c>
      <c r="E1244" s="509">
        <f>$E$1214</f>
        <v>0.1731</v>
      </c>
      <c r="F1244" s="509">
        <f>$F$1214</f>
        <v>0.1731</v>
      </c>
      <c r="G1244" s="509">
        <f>$G$1214</f>
        <v>0.1731</v>
      </c>
      <c r="H1244" s="509">
        <f>$H$1214</f>
        <v>0.1731</v>
      </c>
      <c r="I1244" s="509">
        <f>$I$1214</f>
        <v>0.1731</v>
      </c>
      <c r="J1244" s="508" t="s">
        <v>132</v>
      </c>
    </row>
    <row r="1245" spans="1:10" ht="21" customHeight="1">
      <c r="A1245" s="507" t="s">
        <v>924</v>
      </c>
      <c r="B1245" s="508" t="s">
        <v>601</v>
      </c>
      <c r="C1245" s="508" t="s">
        <v>411</v>
      </c>
      <c r="D1245" s="509">
        <f>$D$1241</f>
        <v>0</v>
      </c>
      <c r="E1245" s="509">
        <f>$E$1241</f>
        <v>0</v>
      </c>
      <c r="F1245" s="509">
        <f>$F$1241</f>
        <v>0</v>
      </c>
      <c r="G1245" s="509">
        <f>$G$1241</f>
        <v>0</v>
      </c>
      <c r="H1245" s="509">
        <f>$H$1241</f>
        <v>0</v>
      </c>
      <c r="I1245" s="509">
        <f>$I$1241</f>
        <v>118033.402</v>
      </c>
      <c r="J1245" s="508" t="s">
        <v>132</v>
      </c>
    </row>
    <row r="1246" spans="1:10" ht="21" customHeight="1">
      <c r="A1246" s="507" t="s">
        <v>924</v>
      </c>
      <c r="B1246" s="508" t="s">
        <v>602</v>
      </c>
      <c r="C1246" s="508" t="s">
        <v>397</v>
      </c>
      <c r="D1246" s="509">
        <v>1026</v>
      </c>
      <c r="E1246" s="509">
        <v>1026</v>
      </c>
      <c r="F1246" s="509">
        <v>1026</v>
      </c>
      <c r="G1246" s="509">
        <v>1026</v>
      </c>
      <c r="H1246" s="509">
        <v>1026</v>
      </c>
      <c r="I1246" s="509">
        <f>'MPs PS'!O20</f>
        <v>1026</v>
      </c>
      <c r="J1246" s="508" t="s">
        <v>132</v>
      </c>
    </row>
    <row r="1247" spans="1:10" ht="21" customHeight="1">
      <c r="A1247" s="507" t="s">
        <v>924</v>
      </c>
      <c r="B1247" s="508" t="s">
        <v>603</v>
      </c>
      <c r="C1247" s="508" t="s">
        <v>411</v>
      </c>
      <c r="D1247" s="509">
        <f>$D$1213</f>
        <v>0.11</v>
      </c>
      <c r="E1247" s="509">
        <f>$E$1213</f>
        <v>0.11</v>
      </c>
      <c r="F1247" s="509">
        <f>$F$1213</f>
        <v>0.11</v>
      </c>
      <c r="G1247" s="509">
        <f>$G$1213</f>
        <v>0.11</v>
      </c>
      <c r="H1247" s="509">
        <f>$H$1213</f>
        <v>0.11</v>
      </c>
      <c r="I1247" s="509">
        <f>$I$1213</f>
        <v>0.11</v>
      </c>
      <c r="J1247" s="508" t="s">
        <v>132</v>
      </c>
    </row>
    <row r="1248" spans="1:10" ht="21" customHeight="1">
      <c r="A1248" s="507" t="s">
        <v>924</v>
      </c>
      <c r="B1248" s="508" t="s">
        <v>604</v>
      </c>
      <c r="C1248" s="508" t="s">
        <v>411</v>
      </c>
      <c r="D1248" s="509">
        <f>($D$1242*$D$1243*$D$1244+$D$1245*$D$1246*$D$1247/1000000)/2000</f>
        <v>5.4667588616999998</v>
      </c>
      <c r="E1248" s="509">
        <f>($E$1242*$E$1243*$E$1244+$E$1245*$E$1246*$E$1247/1000000)/2000</f>
        <v>1.9529232012000002</v>
      </c>
      <c r="F1248" s="509">
        <f>($F$1242*$F$1243*$F$1244+$F$1245*$F$1246*$F$1247/1000000)/2000</f>
        <v>1.7110114506000003</v>
      </c>
      <c r="G1248" s="509">
        <f>($G$1242*$G$1243*$G$1244+$G$1245*$G$1246*$G$1247/1000000)/2000</f>
        <v>32.380235385300004</v>
      </c>
      <c r="H1248" s="509">
        <f>($H$1242*$H$1243*$H$1244+$H$1245*$H$1246*$H$1247/1000000)/2000</f>
        <v>0.60377608890000012</v>
      </c>
      <c r="I1248" s="509">
        <f>($I$1242*$I$1243*$I$1244+$I$1245*$I$1246*$I$1247/1000000)/2000</f>
        <v>6.6606248748600008E-3</v>
      </c>
      <c r="J1248" s="508"/>
    </row>
    <row r="1249" spans="1:10" ht="21" customHeight="1">
      <c r="A1249" s="507" t="s">
        <v>924</v>
      </c>
      <c r="B1249" s="508" t="s">
        <v>501</v>
      </c>
      <c r="C1249" s="508" t="s">
        <v>411</v>
      </c>
      <c r="D1249" s="509">
        <f>$D$1240</f>
        <v>457703</v>
      </c>
      <c r="E1249" s="509">
        <f>$E$1240</f>
        <v>163508</v>
      </c>
      <c r="F1249" s="509">
        <f>$F$1240</f>
        <v>143254</v>
      </c>
      <c r="G1249" s="509">
        <f>$G$1240</f>
        <v>2711027</v>
      </c>
      <c r="H1249" s="509">
        <f>$H$1240</f>
        <v>50551</v>
      </c>
      <c r="I1249" s="509">
        <f>$I$1240</f>
        <v>0</v>
      </c>
      <c r="J1249" s="508" t="s">
        <v>144</v>
      </c>
    </row>
    <row r="1250" spans="1:10" ht="21" customHeight="1">
      <c r="A1250" s="507" t="s">
        <v>924</v>
      </c>
      <c r="B1250" s="508" t="s">
        <v>504</v>
      </c>
      <c r="C1250" s="508" t="s">
        <v>397</v>
      </c>
      <c r="D1250" s="509">
        <v>0.13800000000000001</v>
      </c>
      <c r="E1250" s="509">
        <v>0.13800000000000001</v>
      </c>
      <c r="F1250" s="509">
        <v>0.13800000000000001</v>
      </c>
      <c r="G1250" s="509">
        <v>0.13800000000000001</v>
      </c>
      <c r="H1250" s="509">
        <v>0.13800000000000001</v>
      </c>
      <c r="I1250" s="509">
        <f>'MPs PS'!E26</f>
        <v>0.13800000000000001</v>
      </c>
      <c r="J1250" s="508" t="s">
        <v>144</v>
      </c>
    </row>
    <row r="1251" spans="1:10" ht="21" customHeight="1">
      <c r="A1251" s="507" t="s">
        <v>924</v>
      </c>
      <c r="B1251" s="508" t="s">
        <v>605</v>
      </c>
      <c r="C1251" s="508" t="s">
        <v>411</v>
      </c>
      <c r="D1251" s="509">
        <f>$D$1217</f>
        <v>3.4299999999999997E-2</v>
      </c>
      <c r="E1251" s="509">
        <f>$E$1217</f>
        <v>3.4299999999999997E-2</v>
      </c>
      <c r="F1251" s="509">
        <f>$F$1217</f>
        <v>3.4299999999999997E-2</v>
      </c>
      <c r="G1251" s="509">
        <f>$G$1217</f>
        <v>3.4299999999999997E-2</v>
      </c>
      <c r="H1251" s="509">
        <f>$H$1217</f>
        <v>3.4299999999999997E-2</v>
      </c>
      <c r="I1251" s="509">
        <f>$I$1217</f>
        <v>3.4299999999999997E-2</v>
      </c>
      <c r="J1251" s="508" t="s">
        <v>144</v>
      </c>
    </row>
    <row r="1252" spans="1:10" ht="21" customHeight="1">
      <c r="A1252" s="507" t="s">
        <v>924</v>
      </c>
      <c r="B1252" s="508" t="s">
        <v>606</v>
      </c>
      <c r="C1252" s="508" t="s">
        <v>411</v>
      </c>
      <c r="D1252" s="509">
        <f>$D$1241</f>
        <v>0</v>
      </c>
      <c r="E1252" s="509">
        <f>$E$1241</f>
        <v>0</v>
      </c>
      <c r="F1252" s="509">
        <f>$F$1241</f>
        <v>0</v>
      </c>
      <c r="G1252" s="509">
        <f>$G$1241</f>
        <v>0</v>
      </c>
      <c r="H1252" s="509">
        <f>$H$1241</f>
        <v>0</v>
      </c>
      <c r="I1252" s="509">
        <f>$I$1241</f>
        <v>118033.402</v>
      </c>
      <c r="J1252" s="508" t="s">
        <v>144</v>
      </c>
    </row>
    <row r="1253" spans="1:10" ht="21" customHeight="1">
      <c r="A1253" s="507" t="s">
        <v>924</v>
      </c>
      <c r="B1253" s="508" t="s">
        <v>607</v>
      </c>
      <c r="C1253" s="508" t="s">
        <v>397</v>
      </c>
      <c r="D1253" s="509">
        <v>1026</v>
      </c>
      <c r="E1253" s="509">
        <v>1026</v>
      </c>
      <c r="F1253" s="509">
        <v>1026</v>
      </c>
      <c r="G1253" s="509">
        <v>1026</v>
      </c>
      <c r="H1253" s="509">
        <v>1026</v>
      </c>
      <c r="I1253" s="509">
        <f>'MPs PS'!O26</f>
        <v>1026</v>
      </c>
      <c r="J1253" s="508" t="s">
        <v>144</v>
      </c>
    </row>
    <row r="1254" spans="1:10" ht="21" customHeight="1">
      <c r="A1254" s="507" t="s">
        <v>924</v>
      </c>
      <c r="B1254" s="508" t="s">
        <v>608</v>
      </c>
      <c r="C1254" s="508" t="s">
        <v>411</v>
      </c>
      <c r="D1254" s="509">
        <f>$D$1216</f>
        <v>7.6999999999999999E-2</v>
      </c>
      <c r="E1254" s="509">
        <f>$E$1216</f>
        <v>7.6999999999999999E-2</v>
      </c>
      <c r="F1254" s="509">
        <f>$F$1216</f>
        <v>7.6999999999999999E-2</v>
      </c>
      <c r="G1254" s="509">
        <f>$G$1216</f>
        <v>7.6999999999999999E-2</v>
      </c>
      <c r="H1254" s="509">
        <f>$H$1216</f>
        <v>7.6999999999999999E-2</v>
      </c>
      <c r="I1254" s="509">
        <f>$I$1216</f>
        <v>7.6999999999999999E-2</v>
      </c>
      <c r="J1254" s="508" t="s">
        <v>144</v>
      </c>
    </row>
    <row r="1255" spans="1:10" ht="21" customHeight="1">
      <c r="A1255" s="507" t="s">
        <v>924</v>
      </c>
      <c r="B1255" s="508" t="s">
        <v>513</v>
      </c>
      <c r="C1255" s="508" t="s">
        <v>411</v>
      </c>
      <c r="D1255" s="509">
        <f>($D$1249*$D$1250*$D$1251+$D$1252*$D$1253*$D$1254/1000000)/2000</f>
        <v>1.0832456901</v>
      </c>
      <c r="E1255" s="509">
        <f>($E$1249*$E$1250*$E$1251+$E$1252*$E$1253*$E$1254/1000000)/2000</f>
        <v>0.38697438360000003</v>
      </c>
      <c r="F1255" s="509">
        <f>($F$1249*$F$1250*$F$1251+$F$1252*$F$1253*$F$1254/1000000)/2000</f>
        <v>0.3390392418</v>
      </c>
      <c r="G1255" s="509">
        <f>($G$1249*$G$1250*$G$1251+$G$1252*$G$1253*$G$1254/1000000)/2000</f>
        <v>6.4161876008999998</v>
      </c>
      <c r="H1255" s="509">
        <f>($H$1249*$H$1250*$H$1251+$H$1252*$H$1253*$H$1254/1000000)/2000</f>
        <v>0.1196390517</v>
      </c>
      <c r="I1255" s="509">
        <f>($I$1249*$I$1250*$I$1251+$I$1252*$I$1253*$I$1254/1000000)/2000</f>
        <v>4.6624374124019999E-3</v>
      </c>
      <c r="J1255" s="508"/>
    </row>
    <row r="1256" spans="1:10" ht="21" customHeight="1">
      <c r="A1256" s="507" t="s">
        <v>924</v>
      </c>
      <c r="B1256" s="508" t="s">
        <v>609</v>
      </c>
      <c r="C1256" s="508" t="s">
        <v>411</v>
      </c>
      <c r="D1256" s="509">
        <f>$D$1240</f>
        <v>457703</v>
      </c>
      <c r="E1256" s="509">
        <f>$E$1240</f>
        <v>163508</v>
      </c>
      <c r="F1256" s="509">
        <f>$F$1240</f>
        <v>143254</v>
      </c>
      <c r="G1256" s="509">
        <f>$G$1240</f>
        <v>2711027</v>
      </c>
      <c r="H1256" s="509">
        <f>$H$1240</f>
        <v>50551</v>
      </c>
      <c r="I1256" s="509">
        <f>$I$1240</f>
        <v>0</v>
      </c>
      <c r="J1256" s="508" t="s">
        <v>145</v>
      </c>
    </row>
    <row r="1257" spans="1:10" ht="21" customHeight="1">
      <c r="A1257" s="507" t="s">
        <v>924</v>
      </c>
      <c r="B1257" s="508" t="s">
        <v>610</v>
      </c>
      <c r="C1257" s="508" t="s">
        <v>397</v>
      </c>
      <c r="D1257" s="509">
        <v>0.13800000000000001</v>
      </c>
      <c r="E1257" s="509">
        <v>0.13800000000000001</v>
      </c>
      <c r="F1257" s="509">
        <v>0.13800000000000001</v>
      </c>
      <c r="G1257" s="509">
        <v>0.13800000000000001</v>
      </c>
      <c r="H1257" s="509">
        <v>0.13800000000000001</v>
      </c>
      <c r="I1257" s="509">
        <f>'MPs PS'!E32</f>
        <v>0.13800000000000001</v>
      </c>
      <c r="J1257" s="508" t="s">
        <v>145</v>
      </c>
    </row>
    <row r="1258" spans="1:10" ht="21" customHeight="1">
      <c r="A1258" s="507" t="s">
        <v>924</v>
      </c>
      <c r="B1258" s="508" t="s">
        <v>611</v>
      </c>
      <c r="C1258" s="508" t="s">
        <v>411</v>
      </c>
      <c r="D1258" s="509">
        <f>$D$1220</f>
        <v>7.1000000000000004E-3</v>
      </c>
      <c r="E1258" s="509">
        <f>$E$1220</f>
        <v>7.1000000000000004E-3</v>
      </c>
      <c r="F1258" s="509">
        <f>$F$1220</f>
        <v>7.1000000000000004E-3</v>
      </c>
      <c r="G1258" s="509">
        <f>$G$1220</f>
        <v>7.1000000000000004E-3</v>
      </c>
      <c r="H1258" s="509">
        <f>$H$1220</f>
        <v>7.1000000000000004E-3</v>
      </c>
      <c r="I1258" s="509">
        <f>$I$1220</f>
        <v>7.1000000000000004E-3</v>
      </c>
      <c r="J1258" s="508" t="s">
        <v>145</v>
      </c>
    </row>
    <row r="1259" spans="1:10" ht="21" customHeight="1">
      <c r="A1259" s="507" t="s">
        <v>924</v>
      </c>
      <c r="B1259" s="508" t="s">
        <v>612</v>
      </c>
      <c r="C1259" s="508" t="s">
        <v>411</v>
      </c>
      <c r="D1259" s="509">
        <f>$D$1241</f>
        <v>0</v>
      </c>
      <c r="E1259" s="509">
        <f>$E$1241</f>
        <v>0</v>
      </c>
      <c r="F1259" s="509">
        <f>$F$1241</f>
        <v>0</v>
      </c>
      <c r="G1259" s="509">
        <f>$G$1241</f>
        <v>0</v>
      </c>
      <c r="H1259" s="509">
        <f>$H$1241</f>
        <v>0</v>
      </c>
      <c r="I1259" s="509">
        <f>$I$1241</f>
        <v>118033.402</v>
      </c>
      <c r="J1259" s="508" t="s">
        <v>145</v>
      </c>
    </row>
    <row r="1260" spans="1:10" ht="21" customHeight="1">
      <c r="A1260" s="507" t="s">
        <v>924</v>
      </c>
      <c r="B1260" s="508" t="s">
        <v>613</v>
      </c>
      <c r="C1260" s="508" t="s">
        <v>397</v>
      </c>
      <c r="D1260" s="509">
        <v>1026</v>
      </c>
      <c r="E1260" s="509">
        <v>1026</v>
      </c>
      <c r="F1260" s="509">
        <v>1026</v>
      </c>
      <c r="G1260" s="509">
        <v>1026</v>
      </c>
      <c r="H1260" s="509">
        <v>1026</v>
      </c>
      <c r="I1260" s="509">
        <f>'MPs PS'!O32</f>
        <v>1026</v>
      </c>
      <c r="J1260" s="508" t="s">
        <v>145</v>
      </c>
    </row>
    <row r="1261" spans="1:10" ht="21" customHeight="1">
      <c r="A1261" s="507" t="s">
        <v>924</v>
      </c>
      <c r="B1261" s="508" t="s">
        <v>614</v>
      </c>
      <c r="C1261" s="508" t="s">
        <v>411</v>
      </c>
      <c r="D1261" s="509">
        <f>$D$1219</f>
        <v>8.0999999999999996E-3</v>
      </c>
      <c r="E1261" s="509">
        <f>$E$1219</f>
        <v>8.0999999999999996E-3</v>
      </c>
      <c r="F1261" s="509">
        <f>$F$1219</f>
        <v>8.0999999999999996E-3</v>
      </c>
      <c r="G1261" s="509">
        <f>$G$1219</f>
        <v>8.0999999999999996E-3</v>
      </c>
      <c r="H1261" s="509">
        <f>$H$1219</f>
        <v>8.0999999999999996E-3</v>
      </c>
      <c r="I1261" s="509">
        <f>$I$1219</f>
        <v>8.0999999999999996E-3</v>
      </c>
      <c r="J1261" s="508" t="s">
        <v>145</v>
      </c>
    </row>
    <row r="1262" spans="1:10" ht="21" customHeight="1">
      <c r="A1262" s="507" t="s">
        <v>924</v>
      </c>
      <c r="B1262" s="508" t="s">
        <v>615</v>
      </c>
      <c r="C1262" s="508" t="s">
        <v>411</v>
      </c>
      <c r="D1262" s="509">
        <f>($D$1256*$D$1257*$D$1258+$D$1259*$D$1260*$D$1261/1000000)/2000</f>
        <v>0.22422869970000003</v>
      </c>
      <c r="E1262" s="509">
        <f>($E$1256*$E$1257*$E$1258+$E$1259*$E$1260*$E$1261/1000000)/2000</f>
        <v>8.0102569200000015E-2</v>
      </c>
      <c r="F1262" s="509">
        <f>($F$1256*$F$1257*$F$1258+$F$1259*$F$1260*$F$1261/1000000)/2000</f>
        <v>7.0180134600000013E-2</v>
      </c>
      <c r="G1262" s="509">
        <f>($G$1256*$G$1257*$G$1258+$G$1259*$G$1260*$G$1261/1000000)/2000</f>
        <v>1.3281321273000002</v>
      </c>
      <c r="H1262" s="509">
        <f>($H$1256*$H$1257*$H$1258+$H$1259*$H$1260*$H$1261/1000000)/2000</f>
        <v>2.4764934900000004E-2</v>
      </c>
      <c r="I1262" s="509">
        <f>($I$1256*$I$1257*$I$1258+$I$1259*$I$1260*$I$1261/1000000)/2000</f>
        <v>4.9046419533060003E-4</v>
      </c>
      <c r="J1262" s="508"/>
    </row>
    <row r="1263" spans="1:10" ht="21" customHeight="1">
      <c r="A1263" s="507" t="s">
        <v>924</v>
      </c>
      <c r="B1263" s="508" t="s">
        <v>521</v>
      </c>
      <c r="C1263" s="508" t="s">
        <v>411</v>
      </c>
      <c r="D1263" s="509">
        <f>$D$1240</f>
        <v>457703</v>
      </c>
      <c r="E1263" s="509">
        <f>$E$1240</f>
        <v>163508</v>
      </c>
      <c r="F1263" s="509">
        <f>$F$1240</f>
        <v>143254</v>
      </c>
      <c r="G1263" s="509">
        <f>$G$1240</f>
        <v>2711027</v>
      </c>
      <c r="H1263" s="509">
        <f>$H$1240</f>
        <v>50551</v>
      </c>
      <c r="I1263" s="509">
        <f>$I$1240</f>
        <v>0</v>
      </c>
      <c r="J1263" s="508" t="s">
        <v>147</v>
      </c>
    </row>
    <row r="1264" spans="1:10" ht="21" customHeight="1">
      <c r="A1264" s="507" t="s">
        <v>924</v>
      </c>
      <c r="B1264" s="508" t="s">
        <v>623</v>
      </c>
      <c r="C1264" s="508" t="s">
        <v>397</v>
      </c>
      <c r="D1264" s="509">
        <v>0.13800000000000001</v>
      </c>
      <c r="E1264" s="509">
        <v>0.13800000000000001</v>
      </c>
      <c r="F1264" s="509">
        <v>0.13800000000000001</v>
      </c>
      <c r="G1264" s="509">
        <v>0.13800000000000001</v>
      </c>
      <c r="H1264" s="509">
        <v>0.13800000000000001</v>
      </c>
      <c r="I1264" s="509">
        <f>'MPs PS'!E44</f>
        <v>0.13800000000000001</v>
      </c>
      <c r="J1264" s="508" t="s">
        <v>147</v>
      </c>
    </row>
    <row r="1265" spans="1:10" ht="21" customHeight="1">
      <c r="A1265" s="507" t="s">
        <v>924</v>
      </c>
      <c r="B1265" s="508" t="s">
        <v>624</v>
      </c>
      <c r="C1265" s="508" t="s">
        <v>411</v>
      </c>
      <c r="D1265" s="509">
        <f>$D$1223</f>
        <v>1.77E-2</v>
      </c>
      <c r="E1265" s="509">
        <f>$E$1223</f>
        <v>1.77E-2</v>
      </c>
      <c r="F1265" s="509">
        <f>$F$1223</f>
        <v>1.77E-2</v>
      </c>
      <c r="G1265" s="509">
        <f>$G$1223</f>
        <v>1.77E-2</v>
      </c>
      <c r="H1265" s="509">
        <f>$H$1223</f>
        <v>1.77E-2</v>
      </c>
      <c r="I1265" s="509">
        <f>$I$1223</f>
        <v>1.77E-2</v>
      </c>
      <c r="J1265" s="508" t="s">
        <v>147</v>
      </c>
    </row>
    <row r="1266" spans="1:10" ht="21" customHeight="1">
      <c r="A1266" s="507" t="s">
        <v>924</v>
      </c>
      <c r="B1266" s="508" t="s">
        <v>625</v>
      </c>
      <c r="C1266" s="508" t="s">
        <v>411</v>
      </c>
      <c r="D1266" s="509">
        <f>$D$1241</f>
        <v>0</v>
      </c>
      <c r="E1266" s="509">
        <f>$E$1241</f>
        <v>0</v>
      </c>
      <c r="F1266" s="509">
        <f>$F$1241</f>
        <v>0</v>
      </c>
      <c r="G1266" s="509">
        <f>$G$1241</f>
        <v>0</v>
      </c>
      <c r="H1266" s="509">
        <f>$H$1241</f>
        <v>0</v>
      </c>
      <c r="I1266" s="509">
        <f>$I$1241</f>
        <v>118033.402</v>
      </c>
      <c r="J1266" s="508" t="s">
        <v>147</v>
      </c>
    </row>
    <row r="1267" spans="1:10" ht="21" customHeight="1">
      <c r="A1267" s="507" t="s">
        <v>924</v>
      </c>
      <c r="B1267" s="508" t="s">
        <v>626</v>
      </c>
      <c r="C1267" s="508" t="s">
        <v>397</v>
      </c>
      <c r="D1267" s="509">
        <v>1026</v>
      </c>
      <c r="E1267" s="509">
        <v>1026</v>
      </c>
      <c r="F1267" s="509">
        <v>1026</v>
      </c>
      <c r="G1267" s="509">
        <v>1026</v>
      </c>
      <c r="H1267" s="509">
        <v>1026</v>
      </c>
      <c r="I1267" s="509">
        <f>'MPs PS'!O44</f>
        <v>1026</v>
      </c>
      <c r="J1267" s="508" t="s">
        <v>147</v>
      </c>
    </row>
    <row r="1268" spans="1:10" ht="21" customHeight="1">
      <c r="A1268" s="507" t="s">
        <v>924</v>
      </c>
      <c r="B1268" s="508" t="s">
        <v>627</v>
      </c>
      <c r="C1268" s="508" t="s">
        <v>411</v>
      </c>
      <c r="D1268" s="509">
        <f>$D$1222</f>
        <v>0.01</v>
      </c>
      <c r="E1268" s="509">
        <f>$E$1222</f>
        <v>0.01</v>
      </c>
      <c r="F1268" s="509">
        <f>$F$1222</f>
        <v>0.01</v>
      </c>
      <c r="G1268" s="509">
        <f>$G$1222</f>
        <v>0.01</v>
      </c>
      <c r="H1268" s="509">
        <f>$H$1222</f>
        <v>0.01</v>
      </c>
      <c r="I1268" s="509">
        <f>$I$1222</f>
        <v>0.01</v>
      </c>
      <c r="J1268" s="508" t="s">
        <v>147</v>
      </c>
    </row>
    <row r="1269" spans="1:10" ht="21" customHeight="1">
      <c r="A1269" s="507" t="s">
        <v>924</v>
      </c>
      <c r="B1269" s="508" t="s">
        <v>527</v>
      </c>
      <c r="C1269" s="508" t="s">
        <v>411</v>
      </c>
      <c r="D1269" s="509">
        <f>($D$1263*$D$1264*$D$1265+$D$1266*$D$1267*$D$1268/1000000)/2000</f>
        <v>0.55899267389999996</v>
      </c>
      <c r="E1269" s="509">
        <f>($E$1263*$E$1264*$E$1265+$E$1266*$E$1267*$E$1268/1000000)/2000</f>
        <v>0.19969232040000004</v>
      </c>
      <c r="F1269" s="509">
        <f>($F$1263*$F$1264*$F$1265+$F$1266*$F$1267*$F$1268/1000000)/2000</f>
        <v>0.17495611020000004</v>
      </c>
      <c r="G1269" s="509">
        <f>($G$1263*$G$1264*$G$1265+$G$1266*$G$1267*$G$1268/1000000)/2000</f>
        <v>3.3109772751000004</v>
      </c>
      <c r="H1269" s="509">
        <f>($H$1263*$H$1264*$H$1265+$H$1266*$H$1267*$H$1268/1000000)/2000</f>
        <v>6.1737936300000011E-2</v>
      </c>
      <c r="I1269" s="509">
        <f>($I$1263*$I$1264*$I$1265+$I$1266*$I$1267*$I$1268/1000000)/2000</f>
        <v>6.0551135226000012E-4</v>
      </c>
      <c r="J1269" s="508"/>
    </row>
    <row r="1270" spans="1:10" ht="21" customHeight="1">
      <c r="A1270" s="507" t="s">
        <v>924</v>
      </c>
      <c r="B1270" s="508" t="s">
        <v>628</v>
      </c>
      <c r="C1270" s="508" t="s">
        <v>411</v>
      </c>
      <c r="D1270" s="509">
        <f>$D$1240</f>
        <v>457703</v>
      </c>
      <c r="E1270" s="509">
        <f>$E$1240</f>
        <v>163508</v>
      </c>
      <c r="F1270" s="509">
        <f>$F$1240</f>
        <v>143254</v>
      </c>
      <c r="G1270" s="509">
        <f>$G$1240</f>
        <v>2711027</v>
      </c>
      <c r="H1270" s="509">
        <f>$H$1240</f>
        <v>50551</v>
      </c>
      <c r="I1270" s="509">
        <f>$I$1240</f>
        <v>0</v>
      </c>
      <c r="J1270" s="508" t="s">
        <v>148</v>
      </c>
    </row>
    <row r="1271" spans="1:10" ht="21" customHeight="1">
      <c r="A1271" s="507" t="s">
        <v>924</v>
      </c>
      <c r="B1271" s="508" t="s">
        <v>629</v>
      </c>
      <c r="C1271" s="508" t="s">
        <v>397</v>
      </c>
      <c r="D1271" s="509">
        <v>0.13800000000000001</v>
      </c>
      <c r="E1271" s="509">
        <v>0.13800000000000001</v>
      </c>
      <c r="F1271" s="509">
        <v>0.13800000000000001</v>
      </c>
      <c r="G1271" s="509">
        <v>0.13800000000000001</v>
      </c>
      <c r="H1271" s="509">
        <v>0.13800000000000001</v>
      </c>
      <c r="I1271" s="509">
        <f>'MPs PS'!E50</f>
        <v>0.13800000000000001</v>
      </c>
      <c r="J1271" s="508" t="s">
        <v>148</v>
      </c>
    </row>
    <row r="1272" spans="1:10" ht="21" customHeight="1">
      <c r="A1272" s="507" t="s">
        <v>924</v>
      </c>
      <c r="B1272" s="508" t="s">
        <v>630</v>
      </c>
      <c r="C1272" s="508" t="s">
        <v>411</v>
      </c>
      <c r="D1272" s="509">
        <f>$D$1226</f>
        <v>1.77E-2</v>
      </c>
      <c r="E1272" s="509">
        <f>$E$1226</f>
        <v>1.77E-2</v>
      </c>
      <c r="F1272" s="509">
        <f>$F$1226</f>
        <v>1.77E-2</v>
      </c>
      <c r="G1272" s="509">
        <f>$G$1226</f>
        <v>1.77E-2</v>
      </c>
      <c r="H1272" s="509">
        <f>$H$1226</f>
        <v>1.77E-2</v>
      </c>
      <c r="I1272" s="509">
        <f>$I$1226</f>
        <v>1.77E-2</v>
      </c>
      <c r="J1272" s="508" t="s">
        <v>148</v>
      </c>
    </row>
    <row r="1273" spans="1:10" ht="21" customHeight="1">
      <c r="A1273" s="507" t="s">
        <v>924</v>
      </c>
      <c r="B1273" s="508" t="s">
        <v>631</v>
      </c>
      <c r="C1273" s="508" t="s">
        <v>411</v>
      </c>
      <c r="D1273" s="509">
        <f>$D$1241</f>
        <v>0</v>
      </c>
      <c r="E1273" s="509">
        <f>$E$1241</f>
        <v>0</v>
      </c>
      <c r="F1273" s="509">
        <f>$F$1241</f>
        <v>0</v>
      </c>
      <c r="G1273" s="509">
        <f>$G$1241</f>
        <v>0</v>
      </c>
      <c r="H1273" s="509">
        <f>$H$1241</f>
        <v>0</v>
      </c>
      <c r="I1273" s="509">
        <f>$I$1241</f>
        <v>118033.402</v>
      </c>
      <c r="J1273" s="508" t="s">
        <v>148</v>
      </c>
    </row>
    <row r="1274" spans="1:10" ht="21" customHeight="1">
      <c r="A1274" s="507" t="s">
        <v>924</v>
      </c>
      <c r="B1274" s="508" t="s">
        <v>632</v>
      </c>
      <c r="C1274" s="508" t="s">
        <v>397</v>
      </c>
      <c r="D1274" s="509">
        <v>1026</v>
      </c>
      <c r="E1274" s="509">
        <v>1026</v>
      </c>
      <c r="F1274" s="509">
        <v>1026</v>
      </c>
      <c r="G1274" s="509">
        <v>1026</v>
      </c>
      <c r="H1274" s="509">
        <v>1026</v>
      </c>
      <c r="I1274" s="509">
        <f>'MPs PS'!O50</f>
        <v>1026</v>
      </c>
      <c r="J1274" s="508" t="s">
        <v>148</v>
      </c>
    </row>
    <row r="1275" spans="1:10" ht="21" customHeight="1">
      <c r="A1275" s="507" t="s">
        <v>924</v>
      </c>
      <c r="B1275" s="508" t="s">
        <v>633</v>
      </c>
      <c r="C1275" s="508" t="s">
        <v>411</v>
      </c>
      <c r="D1275" s="509">
        <f>$D$1225</f>
        <v>0.01</v>
      </c>
      <c r="E1275" s="509">
        <f>$E$1225</f>
        <v>0.01</v>
      </c>
      <c r="F1275" s="509">
        <f>$F$1225</f>
        <v>0.01</v>
      </c>
      <c r="G1275" s="509">
        <f>$G$1225</f>
        <v>0.01</v>
      </c>
      <c r="H1275" s="509">
        <f>$H$1225</f>
        <v>0.01</v>
      </c>
      <c r="I1275" s="509">
        <f>$I$1225</f>
        <v>0.01</v>
      </c>
      <c r="J1275" s="508" t="s">
        <v>148</v>
      </c>
    </row>
    <row r="1276" spans="1:10" ht="21" customHeight="1">
      <c r="A1276" s="507" t="s">
        <v>924</v>
      </c>
      <c r="B1276" s="508" t="s">
        <v>634</v>
      </c>
      <c r="C1276" s="508" t="s">
        <v>411</v>
      </c>
      <c r="D1276" s="509">
        <f>($D$1270*$D$1271*$D$1272+$D$1273*$D$1274*$D$1275/1000000)/2000</f>
        <v>0.55899267389999996</v>
      </c>
      <c r="E1276" s="509">
        <f>($E$1270*$E$1271*$E$1272+$E$1273*$E$1274*$E$1275/1000000)/2000</f>
        <v>0.19969232040000004</v>
      </c>
      <c r="F1276" s="509">
        <f>($F$1270*$F$1271*$F$1272+$F$1273*$F$1274*$F$1275/1000000)/2000</f>
        <v>0.17495611020000004</v>
      </c>
      <c r="G1276" s="509">
        <f>($G$1270*$G$1271*$G$1272+$G$1273*$G$1274*$G$1275/1000000)/2000</f>
        <v>3.3109772751000004</v>
      </c>
      <c r="H1276" s="509">
        <f>($H$1270*$H$1271*$H$1272+$H$1273*$H$1274*$H$1275/1000000)/2000</f>
        <v>6.1737936300000011E-2</v>
      </c>
      <c r="I1276" s="509">
        <f>($I$1270*$I$1271*$I$1272+$I$1273*$I$1274*$I$1275/1000000)/2000</f>
        <v>6.0551135226000012E-4</v>
      </c>
      <c r="J1276" s="508"/>
    </row>
    <row r="1277" spans="1:10" ht="21" customHeight="1">
      <c r="A1277" s="507" t="s">
        <v>924</v>
      </c>
      <c r="B1277" s="508" t="s">
        <v>635</v>
      </c>
      <c r="C1277" s="508" t="s">
        <v>411</v>
      </c>
      <c r="D1277" s="509">
        <f>$D$1240</f>
        <v>457703</v>
      </c>
      <c r="E1277" s="509">
        <f>$E$1240</f>
        <v>163508</v>
      </c>
      <c r="F1277" s="509">
        <f>$F$1240</f>
        <v>143254</v>
      </c>
      <c r="G1277" s="509">
        <f>$G$1240</f>
        <v>2711027</v>
      </c>
      <c r="H1277" s="509">
        <f>$H$1240</f>
        <v>50551</v>
      </c>
      <c r="I1277" s="509">
        <f>$I$1240</f>
        <v>0</v>
      </c>
      <c r="J1277" s="508" t="s">
        <v>149</v>
      </c>
    </row>
    <row r="1278" spans="1:10" ht="21" customHeight="1">
      <c r="A1278" s="507" t="s">
        <v>924</v>
      </c>
      <c r="B1278" s="508" t="s">
        <v>757</v>
      </c>
      <c r="C1278" s="508" t="s">
        <v>397</v>
      </c>
      <c r="D1278" s="509">
        <v>0.13800000000000001</v>
      </c>
      <c r="E1278" s="509">
        <v>0.13800000000000001</v>
      </c>
      <c r="F1278" s="509">
        <v>0.13800000000000001</v>
      </c>
      <c r="G1278" s="509">
        <v>0.13800000000000001</v>
      </c>
      <c r="H1278" s="509">
        <v>0.13800000000000001</v>
      </c>
      <c r="I1278" s="509">
        <f>'MPs PS'!E56</f>
        <v>0.13800000000000001</v>
      </c>
      <c r="J1278" s="508" t="s">
        <v>149</v>
      </c>
    </row>
    <row r="1279" spans="1:10" ht="21" customHeight="1">
      <c r="A1279" s="507" t="s">
        <v>924</v>
      </c>
      <c r="B1279" s="508" t="s">
        <v>636</v>
      </c>
      <c r="C1279" s="508" t="s">
        <v>411</v>
      </c>
      <c r="D1279" s="509">
        <f>$D$1229</f>
        <v>1.5E-3</v>
      </c>
      <c r="E1279" s="509">
        <f>$E$1229</f>
        <v>1.5E-3</v>
      </c>
      <c r="F1279" s="509">
        <f>$F$1229</f>
        <v>1.5E-3</v>
      </c>
      <c r="G1279" s="509">
        <f>$G$1229</f>
        <v>1.5E-3</v>
      </c>
      <c r="H1279" s="509">
        <f>$H$1229</f>
        <v>1.5E-3</v>
      </c>
      <c r="I1279" s="509">
        <f>$I$1229</f>
        <v>1.5E-3</v>
      </c>
      <c r="J1279" s="508" t="s">
        <v>149</v>
      </c>
    </row>
    <row r="1280" spans="1:10" ht="21" customHeight="1">
      <c r="A1280" s="507" t="s">
        <v>924</v>
      </c>
      <c r="B1280" s="508" t="s">
        <v>637</v>
      </c>
      <c r="C1280" s="508" t="s">
        <v>411</v>
      </c>
      <c r="D1280" s="509">
        <f>$D$1231</f>
        <v>4.2641325536062387E-4</v>
      </c>
      <c r="E1280" s="509">
        <f>$E$1231</f>
        <v>4.2641325536062387E-4</v>
      </c>
      <c r="F1280" s="509">
        <f>$F$1231</f>
        <v>4.2641325536062387E-4</v>
      </c>
      <c r="G1280" s="509">
        <f>$G$1231</f>
        <v>4.2641325536062387E-4</v>
      </c>
      <c r="H1280" s="509">
        <f>$H$1231</f>
        <v>4.2641325536062387E-4</v>
      </c>
      <c r="I1280" s="509">
        <f>$I$1231</f>
        <v>4.2641325536062387E-4</v>
      </c>
      <c r="J1280" s="508" t="s">
        <v>149</v>
      </c>
    </row>
    <row r="1281" spans="1:10" ht="21" customHeight="1">
      <c r="A1281" s="507" t="s">
        <v>924</v>
      </c>
      <c r="B1281" s="508" t="s">
        <v>638</v>
      </c>
      <c r="C1281" s="508" t="s">
        <v>397</v>
      </c>
      <c r="D1281" s="509">
        <v>1026</v>
      </c>
      <c r="E1281" s="509">
        <v>1026</v>
      </c>
      <c r="F1281" s="509">
        <v>1026</v>
      </c>
      <c r="G1281" s="509">
        <v>1026</v>
      </c>
      <c r="H1281" s="509">
        <v>1026</v>
      </c>
      <c r="I1281" s="509">
        <f>'MPs PS'!O56</f>
        <v>1026</v>
      </c>
      <c r="J1281" s="508" t="s">
        <v>149</v>
      </c>
    </row>
    <row r="1282" spans="1:10" ht="21" customHeight="1">
      <c r="A1282" s="507" t="s">
        <v>924</v>
      </c>
      <c r="B1282" s="508" t="s">
        <v>639</v>
      </c>
      <c r="C1282" s="508" t="s">
        <v>411</v>
      </c>
      <c r="D1282" s="509">
        <f>$D$1228</f>
        <v>2.7847396268448903E-3</v>
      </c>
      <c r="E1282" s="509">
        <f>$E$1228</f>
        <v>2.7847396268448903E-3</v>
      </c>
      <c r="F1282" s="509">
        <f>$F$1228</f>
        <v>2.7847396268448903E-3</v>
      </c>
      <c r="G1282" s="509">
        <f>$G$1228</f>
        <v>2.7847396268448903E-3</v>
      </c>
      <c r="H1282" s="509">
        <f>$H$1228</f>
        <v>2.7847396268448903E-3</v>
      </c>
      <c r="I1282" s="509">
        <f>$I$1228</f>
        <v>2.7847396268448903E-3</v>
      </c>
      <c r="J1282" s="508" t="s">
        <v>149</v>
      </c>
    </row>
    <row r="1283" spans="1:10" ht="21" customHeight="1">
      <c r="A1283" s="507" t="s">
        <v>924</v>
      </c>
      <c r="B1283" s="508" t="s">
        <v>641</v>
      </c>
      <c r="C1283" s="508" t="s">
        <v>411</v>
      </c>
      <c r="D1283" s="509">
        <f>($D$1277*$D$1278*$D$1279+$D$1280*$D$1281*$D$1282/1000000)/2000</f>
        <v>4.7372260500609165E-2</v>
      </c>
      <c r="E1283" s="509">
        <f>($E$1277*$E$1278*$E$1279+$E$1280*$E$1281*$E$1282/1000000)/2000</f>
        <v>1.6923078000609167E-2</v>
      </c>
      <c r="F1283" s="509">
        <f>($F$1277*$F$1278*$F$1279+$F$1280*$F$1281*$F$1282/1000000)/2000</f>
        <v>1.4826789000609165E-2</v>
      </c>
      <c r="G1283" s="509">
        <f>($G$1277*$G$1278*$G$1279+$G$1280*$G$1281*$G$1282/1000000)/2000</f>
        <v>0.28059129450060916</v>
      </c>
      <c r="H1283" s="509">
        <f>($H$1277*$H$1278*$H$1279+$H$1280*$H$1281*$H$1282/1000000)/2000</f>
        <v>5.2320285006091614E-3</v>
      </c>
      <c r="I1283" s="509">
        <f>($I$1277*$I$1278*$I$1279+$I$1280*$I$1281*$I$1282/1000000)/2000</f>
        <v>6.0916179337231978E-13</v>
      </c>
      <c r="J1283" s="508"/>
    </row>
    <row r="1284" spans="1:10" ht="21" customHeight="1">
      <c r="A1284" s="507" t="s">
        <v>924</v>
      </c>
      <c r="B1284" s="508" t="s">
        <v>581</v>
      </c>
      <c r="C1284" s="508" t="s">
        <v>411</v>
      </c>
      <c r="D1284" s="509">
        <f>$D$1240</f>
        <v>457703</v>
      </c>
      <c r="E1284" s="509">
        <f>$E$1240</f>
        <v>163508</v>
      </c>
      <c r="F1284" s="509">
        <f>$F$1240</f>
        <v>143254</v>
      </c>
      <c r="G1284" s="509">
        <f>$G$1240</f>
        <v>2711027</v>
      </c>
      <c r="H1284" s="509">
        <f>$H$1240</f>
        <v>50551</v>
      </c>
      <c r="I1284" s="509">
        <f>$I$1240</f>
        <v>0</v>
      </c>
      <c r="J1284" s="508" t="s">
        <v>151</v>
      </c>
    </row>
    <row r="1285" spans="1:10" ht="21" customHeight="1">
      <c r="A1285" s="507" t="s">
        <v>924</v>
      </c>
      <c r="B1285" s="508" t="s">
        <v>642</v>
      </c>
      <c r="C1285" s="508" t="s">
        <v>397</v>
      </c>
      <c r="D1285" s="509">
        <v>0.13800000000000001</v>
      </c>
      <c r="E1285" s="509">
        <v>0.13800000000000001</v>
      </c>
      <c r="F1285" s="509">
        <v>0.13800000000000001</v>
      </c>
      <c r="G1285" s="509">
        <v>0.13800000000000001</v>
      </c>
      <c r="H1285" s="509">
        <v>0.13800000000000001</v>
      </c>
      <c r="I1285" s="509">
        <f>'MPs PS'!E62</f>
        <v>0.13800000000000001</v>
      </c>
      <c r="J1285" s="508" t="s">
        <v>151</v>
      </c>
    </row>
    <row r="1286" spans="1:10" ht="21" customHeight="1">
      <c r="A1286" s="507" t="s">
        <v>924</v>
      </c>
      <c r="B1286" s="508" t="s">
        <v>643</v>
      </c>
      <c r="C1286" s="508" t="s">
        <v>411</v>
      </c>
      <c r="D1286" s="509">
        <f>$D$1232</f>
        <v>2.2968750000000002E-4</v>
      </c>
      <c r="E1286" s="509">
        <f>$E$1232</f>
        <v>2.2968750000000002E-4</v>
      </c>
      <c r="F1286" s="509">
        <f>$F$1232</f>
        <v>2.2968750000000002E-4</v>
      </c>
      <c r="G1286" s="509">
        <f>$G$1232</f>
        <v>2.2968750000000002E-4</v>
      </c>
      <c r="H1286" s="509">
        <f>$H$1232</f>
        <v>2.2968750000000002E-4</v>
      </c>
      <c r="I1286" s="509">
        <f>$I$1232</f>
        <v>2.2968750000000002E-4</v>
      </c>
      <c r="J1286" s="508" t="s">
        <v>151</v>
      </c>
    </row>
    <row r="1287" spans="1:10" ht="21" customHeight="1">
      <c r="A1287" s="507" t="s">
        <v>924</v>
      </c>
      <c r="B1287" s="508" t="s">
        <v>644</v>
      </c>
      <c r="C1287" s="508" t="s">
        <v>411</v>
      </c>
      <c r="D1287" s="509">
        <f>$D$1241</f>
        <v>0</v>
      </c>
      <c r="E1287" s="509">
        <f>$E$1241</f>
        <v>0</v>
      </c>
      <c r="F1287" s="509">
        <f>$F$1241</f>
        <v>0</v>
      </c>
      <c r="G1287" s="509">
        <f>$G$1241</f>
        <v>0</v>
      </c>
      <c r="H1287" s="509">
        <f>$H$1241</f>
        <v>0</v>
      </c>
      <c r="I1287" s="509">
        <f>$I$1241</f>
        <v>118033.402</v>
      </c>
      <c r="J1287" s="508" t="s">
        <v>151</v>
      </c>
    </row>
    <row r="1288" spans="1:10" ht="21" customHeight="1">
      <c r="A1288" s="507" t="s">
        <v>924</v>
      </c>
      <c r="B1288" s="508" t="s">
        <v>645</v>
      </c>
      <c r="C1288" s="508" t="s">
        <v>397</v>
      </c>
      <c r="D1288" s="509">
        <v>1026</v>
      </c>
      <c r="E1288" s="509">
        <v>1026</v>
      </c>
      <c r="F1288" s="509">
        <v>1026</v>
      </c>
      <c r="G1288" s="509">
        <v>1026</v>
      </c>
      <c r="H1288" s="509">
        <v>1026</v>
      </c>
      <c r="I1288" s="509">
        <f>'MPs PS'!O62</f>
        <v>1026</v>
      </c>
      <c r="J1288" s="508" t="s">
        <v>151</v>
      </c>
    </row>
    <row r="1289" spans="1:10" ht="21" customHeight="1">
      <c r="A1289" s="507" t="s">
        <v>924</v>
      </c>
      <c r="B1289" s="508" t="s">
        <v>646</v>
      </c>
      <c r="C1289" s="508" t="s">
        <v>411</v>
      </c>
      <c r="D1289" s="509">
        <f>$D$1231</f>
        <v>4.2641325536062387E-4</v>
      </c>
      <c r="E1289" s="509">
        <f>$E$1231</f>
        <v>4.2641325536062387E-4</v>
      </c>
      <c r="F1289" s="509">
        <f>$F$1231</f>
        <v>4.2641325536062387E-4</v>
      </c>
      <c r="G1289" s="509">
        <f>$G$1231</f>
        <v>4.2641325536062387E-4</v>
      </c>
      <c r="H1289" s="509">
        <f>$H$1231</f>
        <v>4.2641325536062387E-4</v>
      </c>
      <c r="I1289" s="509">
        <f>$I$1231</f>
        <v>4.2641325536062387E-4</v>
      </c>
      <c r="J1289" s="508" t="s">
        <v>151</v>
      </c>
    </row>
    <row r="1290" spans="1:10" ht="21" customHeight="1">
      <c r="A1290" s="507" t="s">
        <v>924</v>
      </c>
      <c r="B1290" s="508" t="s">
        <v>647</v>
      </c>
      <c r="C1290" s="508" t="s">
        <v>411</v>
      </c>
      <c r="D1290" s="509">
        <f>($D$1284*$D$1285*$D$1286+$D$1287*$D$1288*$D$1289/1000000)/2000</f>
        <v>7.2538773890625007E-3</v>
      </c>
      <c r="E1290" s="509">
        <f>($E$1284*$E$1285*$E$1286+$E$1287*$E$1288*$E$1289/1000000)/2000</f>
        <v>2.5913463187500008E-3</v>
      </c>
      <c r="F1290" s="509">
        <f>($F$1284*$F$1285*$F$1286+$F$1287*$F$1288*$F$1289/1000000)/2000</f>
        <v>2.2703520656250004E-3</v>
      </c>
      <c r="G1290" s="509">
        <f>($G$1284*$G$1285*$G$1286+$G$1287*$G$1288*$G$1289/1000000)/2000</f>
        <v>4.2965541970312507E-2</v>
      </c>
      <c r="H1290" s="509">
        <f>($H$1284*$H$1285*$H$1286+$H$1287*$H$1288*$H$1289/1000000)/2000</f>
        <v>8.0115436406250008E-4</v>
      </c>
      <c r="I1290" s="509">
        <f>($I$1284*$I$1285*$I$1286+$I$1287*$I$1288*$I$1289/1000000)/2000</f>
        <v>2.581980668750001E-5</v>
      </c>
      <c r="J1290" s="508"/>
    </row>
    <row r="1291" spans="1:10" ht="21" customHeight="1">
      <c r="A1291" s="507" t="s">
        <v>924</v>
      </c>
      <c r="B1291" s="508" t="s">
        <v>648</v>
      </c>
      <c r="C1291" s="508" t="s">
        <v>411</v>
      </c>
      <c r="D1291" s="509">
        <f>$D$1240</f>
        <v>457703</v>
      </c>
      <c r="E1291" s="509">
        <f>$E$1240</f>
        <v>163508</v>
      </c>
      <c r="F1291" s="509">
        <f>$F$1240</f>
        <v>143254</v>
      </c>
      <c r="G1291" s="509">
        <f>$G$1240</f>
        <v>2711027</v>
      </c>
      <c r="H1291" s="509">
        <f>$H$1240</f>
        <v>50551</v>
      </c>
      <c r="I1291" s="509">
        <f>$I$1240</f>
        <v>0</v>
      </c>
      <c r="J1291" s="508" t="s">
        <v>152</v>
      </c>
    </row>
    <row r="1292" spans="1:10" ht="21" customHeight="1">
      <c r="A1292" s="507" t="s">
        <v>924</v>
      </c>
      <c r="B1292" s="508" t="s">
        <v>649</v>
      </c>
      <c r="C1292" s="508" t="s">
        <v>397</v>
      </c>
      <c r="D1292" s="509">
        <v>0.13800000000000001</v>
      </c>
      <c r="E1292" s="509">
        <v>0.13800000000000001</v>
      </c>
      <c r="F1292" s="509">
        <v>0.13800000000000001</v>
      </c>
      <c r="G1292" s="509">
        <v>0.13800000000000001</v>
      </c>
      <c r="H1292" s="509">
        <v>0.13800000000000001</v>
      </c>
      <c r="I1292" s="509">
        <f>'MPs PS'!E68</f>
        <v>0.13800000000000001</v>
      </c>
      <c r="J1292" s="508" t="s">
        <v>152</v>
      </c>
    </row>
    <row r="1293" spans="1:10" ht="21" customHeight="1">
      <c r="A1293" s="507" t="s">
        <v>924</v>
      </c>
      <c r="B1293" s="508" t="s">
        <v>650</v>
      </c>
      <c r="C1293" s="508" t="s">
        <v>411</v>
      </c>
      <c r="D1293" s="509">
        <f>$D$1235</f>
        <v>1.4E-5</v>
      </c>
      <c r="E1293" s="509">
        <f>$E$1235</f>
        <v>1.4E-5</v>
      </c>
      <c r="F1293" s="509">
        <f>$F$1235</f>
        <v>1.4E-5</v>
      </c>
      <c r="G1293" s="509">
        <f>$G$1235</f>
        <v>1.4E-5</v>
      </c>
      <c r="H1293" s="509">
        <f>$H$1235</f>
        <v>1.4E-5</v>
      </c>
      <c r="I1293" s="509">
        <f>$I$1235</f>
        <v>1.4E-5</v>
      </c>
      <c r="J1293" s="508" t="s">
        <v>152</v>
      </c>
    </row>
    <row r="1294" spans="1:10" ht="21" customHeight="1">
      <c r="A1294" s="507" t="s">
        <v>924</v>
      </c>
      <c r="B1294" s="508" t="s">
        <v>651</v>
      </c>
      <c r="C1294" s="508" t="s">
        <v>411</v>
      </c>
      <c r="D1294" s="509">
        <f>$D$1241</f>
        <v>0</v>
      </c>
      <c r="E1294" s="509">
        <f>$E$1241</f>
        <v>0</v>
      </c>
      <c r="F1294" s="509">
        <f>$F$1241</f>
        <v>0</v>
      </c>
      <c r="G1294" s="509">
        <f>$G$1241</f>
        <v>0</v>
      </c>
      <c r="H1294" s="509">
        <f>$H$1241</f>
        <v>0</v>
      </c>
      <c r="I1294" s="509">
        <f>$I$1241</f>
        <v>118033.402</v>
      </c>
      <c r="J1294" s="508" t="s">
        <v>152</v>
      </c>
    </row>
    <row r="1295" spans="1:10" ht="21" customHeight="1">
      <c r="A1295" s="507" t="s">
        <v>924</v>
      </c>
      <c r="B1295" s="508" t="s">
        <v>652</v>
      </c>
      <c r="C1295" s="508" t="s">
        <v>397</v>
      </c>
      <c r="D1295" s="509">
        <v>1026</v>
      </c>
      <c r="E1295" s="509">
        <v>1026</v>
      </c>
      <c r="F1295" s="509">
        <v>1026</v>
      </c>
      <c r="G1295" s="509">
        <v>1026</v>
      </c>
      <c r="H1295" s="509">
        <v>1026</v>
      </c>
      <c r="I1295" s="509">
        <f>'MPs PS'!O68</f>
        <v>1026</v>
      </c>
      <c r="J1295" s="508" t="s">
        <v>152</v>
      </c>
    </row>
    <row r="1296" spans="1:10" ht="21" customHeight="1">
      <c r="A1296" s="507" t="s">
        <v>924</v>
      </c>
      <c r="B1296" s="508" t="s">
        <v>653</v>
      </c>
      <c r="C1296" s="508" t="s">
        <v>411</v>
      </c>
      <c r="D1296" s="509">
        <f>$D$1234</f>
        <v>0</v>
      </c>
      <c r="E1296" s="509">
        <f>$E$1234</f>
        <v>0</v>
      </c>
      <c r="F1296" s="509">
        <f>$F$1234</f>
        <v>0</v>
      </c>
      <c r="G1296" s="509">
        <f>$G$1234</f>
        <v>0</v>
      </c>
      <c r="H1296" s="509">
        <f>$H$1234</f>
        <v>0</v>
      </c>
      <c r="I1296" s="509">
        <f>$I$1234</f>
        <v>0</v>
      </c>
      <c r="J1296" s="508" t="s">
        <v>152</v>
      </c>
    </row>
    <row r="1297" spans="1:10" ht="21" customHeight="1">
      <c r="A1297" s="507" t="s">
        <v>924</v>
      </c>
      <c r="B1297" s="508" t="s">
        <v>586</v>
      </c>
      <c r="C1297" s="508" t="s">
        <v>411</v>
      </c>
      <c r="D1297" s="509">
        <f>($D$1291*$D$1292*$D$1293+$D$1294*$D$1295*$D$1296/1000000)/2000</f>
        <v>4.42141098E-4</v>
      </c>
      <c r="E1297" s="509">
        <f>($E$1291*$E$1292*$E$1293+$E$1294*$E$1295*$E$1296/1000000)/2000</f>
        <v>1.57948728E-4</v>
      </c>
      <c r="F1297" s="509">
        <f>($F$1291*$F$1292*$F$1293+$F$1294*$F$1295*$F$1296/1000000)/2000</f>
        <v>1.3838336400000002E-4</v>
      </c>
      <c r="G1297" s="509">
        <f>($G$1291*$G$1292*$G$1293+$G$1294*$G$1295*$G$1296/1000000)/2000</f>
        <v>2.6188520820000002E-3</v>
      </c>
      <c r="H1297" s="509">
        <f>($H$1291*$H$1292*$H$1293+$H$1294*$H$1295*$H$1296/1000000)/2000</f>
        <v>4.8832265999999997E-5</v>
      </c>
      <c r="I1297" s="509">
        <f>($I$1291*$I$1292*$I$1293+$I$1294*$I$1295*$I$1296/1000000)/2000</f>
        <v>0</v>
      </c>
      <c r="J1297" s="508"/>
    </row>
    <row r="1298" spans="1:10" ht="21" customHeight="1">
      <c r="A1298" s="507" t="s">
        <v>924</v>
      </c>
      <c r="B1298" s="508" t="s">
        <v>654</v>
      </c>
      <c r="C1298" s="508" t="s">
        <v>411</v>
      </c>
      <c r="D1298" s="509">
        <f>$D$1240</f>
        <v>457703</v>
      </c>
      <c r="E1298" s="509">
        <f>$E$1240</f>
        <v>163508</v>
      </c>
      <c r="F1298" s="509">
        <f>$F$1240</f>
        <v>143254</v>
      </c>
      <c r="G1298" s="509">
        <f>$G$1240</f>
        <v>2711027</v>
      </c>
      <c r="H1298" s="509">
        <f>$H$1240</f>
        <v>50551</v>
      </c>
      <c r="I1298" s="509">
        <f>$I$1240</f>
        <v>0</v>
      </c>
      <c r="J1298" s="508" t="s">
        <v>153</v>
      </c>
    </row>
    <row r="1299" spans="1:10" ht="21" customHeight="1">
      <c r="A1299" s="507" t="s">
        <v>924</v>
      </c>
      <c r="B1299" s="508" t="s">
        <v>655</v>
      </c>
      <c r="C1299" s="508" t="s">
        <v>397</v>
      </c>
      <c r="D1299" s="509">
        <v>0.13800000000000001</v>
      </c>
      <c r="E1299" s="509">
        <v>0.13800000000000001</v>
      </c>
      <c r="F1299" s="509">
        <v>0.13800000000000001</v>
      </c>
      <c r="G1299" s="509">
        <v>0.13800000000000001</v>
      </c>
      <c r="H1299" s="509">
        <v>0.13800000000000001</v>
      </c>
      <c r="I1299" s="509">
        <f>'MPs PS'!E74</f>
        <v>0.13800000000000001</v>
      </c>
      <c r="J1299" s="508" t="s">
        <v>153</v>
      </c>
    </row>
    <row r="1300" spans="1:10" ht="21" customHeight="1">
      <c r="A1300" s="507" t="s">
        <v>924</v>
      </c>
      <c r="B1300" s="508" t="s">
        <v>927</v>
      </c>
      <c r="C1300" s="508" t="s">
        <v>411</v>
      </c>
      <c r="D1300" s="509">
        <f>$D$1238</f>
        <v>163.61000000000001</v>
      </c>
      <c r="E1300" s="509">
        <f>$E$1238</f>
        <v>163.61000000000001</v>
      </c>
      <c r="F1300" s="509">
        <f>$F$1238</f>
        <v>163.61000000000001</v>
      </c>
      <c r="G1300" s="509">
        <f>$G$1238</f>
        <v>163.61000000000001</v>
      </c>
      <c r="H1300" s="509">
        <f>$H$1238</f>
        <v>163.61000000000001</v>
      </c>
      <c r="I1300" s="509">
        <f>$I$1238</f>
        <v>163.61000000000001</v>
      </c>
      <c r="J1300" s="508" t="s">
        <v>153</v>
      </c>
    </row>
    <row r="1301" spans="1:10" ht="21" customHeight="1">
      <c r="A1301" s="507" t="s">
        <v>924</v>
      </c>
      <c r="B1301" s="508" t="s">
        <v>656</v>
      </c>
      <c r="C1301" s="508" t="s">
        <v>411</v>
      </c>
      <c r="D1301" s="509">
        <f>$D$1248</f>
        <v>5.4667588616999998</v>
      </c>
      <c r="E1301" s="509">
        <f>$E$1248</f>
        <v>1.9529232012000002</v>
      </c>
      <c r="F1301" s="509">
        <f>$F$1248</f>
        <v>1.7110114506000003</v>
      </c>
      <c r="G1301" s="509">
        <f>$G$1248</f>
        <v>32.380235385300004</v>
      </c>
      <c r="H1301" s="509">
        <f>$H$1248</f>
        <v>0.60377608890000012</v>
      </c>
      <c r="I1301" s="509">
        <f>$I$1248</f>
        <v>6.6606248748600008E-3</v>
      </c>
      <c r="J1301" s="508" t="s">
        <v>153</v>
      </c>
    </row>
    <row r="1302" spans="1:10" ht="21" customHeight="1">
      <c r="A1302" s="507" t="s">
        <v>924</v>
      </c>
      <c r="B1302" s="508" t="s">
        <v>657</v>
      </c>
      <c r="C1302" s="508" t="s">
        <v>397</v>
      </c>
      <c r="D1302" s="509">
        <v>1026</v>
      </c>
      <c r="E1302" s="509">
        <v>1026</v>
      </c>
      <c r="F1302" s="509">
        <v>1026</v>
      </c>
      <c r="G1302" s="509">
        <v>1026</v>
      </c>
      <c r="H1302" s="509">
        <v>1026</v>
      </c>
      <c r="I1302" s="509">
        <f>'MPs PS'!O74</f>
        <v>1026</v>
      </c>
      <c r="J1302" s="508" t="s">
        <v>153</v>
      </c>
    </row>
    <row r="1303" spans="1:10" ht="21" customHeight="1">
      <c r="A1303" s="507" t="s">
        <v>924</v>
      </c>
      <c r="B1303" s="508" t="s">
        <v>928</v>
      </c>
      <c r="C1303" s="508" t="s">
        <v>411</v>
      </c>
      <c r="D1303" s="509">
        <f>$D$1237</f>
        <v>117.09688808000001</v>
      </c>
      <c r="E1303" s="509">
        <f>$E$1237</f>
        <v>117.09688808000001</v>
      </c>
      <c r="F1303" s="509">
        <f>$F$1237</f>
        <v>117.09688808000001</v>
      </c>
      <c r="G1303" s="509">
        <f>$G$1237</f>
        <v>117.09688808000001</v>
      </c>
      <c r="H1303" s="509">
        <f>$H$1237</f>
        <v>117.09688808000001</v>
      </c>
      <c r="I1303" s="509">
        <f>$I$1237</f>
        <v>117.09688808000001</v>
      </c>
      <c r="J1303" s="508" t="s">
        <v>153</v>
      </c>
    </row>
    <row r="1304" spans="1:10" ht="21" customHeight="1">
      <c r="A1304" s="507" t="s">
        <v>924</v>
      </c>
      <c r="B1304" s="508" t="s">
        <v>659</v>
      </c>
      <c r="C1304" s="508" t="s">
        <v>411</v>
      </c>
      <c r="D1304" s="509">
        <f>($D$1298*$D$1299*$D$1300+$D$1301*$D$1302*$D$1303/1000000)/2000</f>
        <v>5167.0506886620524</v>
      </c>
      <c r="E1304" s="509">
        <f>($E$1298*$E$1299*$E$1300+$E$1301*$E$1302*$E$1303/1000000)/2000</f>
        <v>1845.8566450334711</v>
      </c>
      <c r="F1304" s="509">
        <f>($F$1298*$F$1299*$F$1300+$F$1301*$F$1302*$F$1303/1000000)/2000</f>
        <v>1617.2074016416623</v>
      </c>
      <c r="G1304" s="509">
        <f>($G$1298*$G$1299*$G$1300+$G$1301*$G$1302*$G$1303/1000000)/2000</f>
        <v>30605.029740533526</v>
      </c>
      <c r="H1304" s="509">
        <f>($H$1298*$H$1299*$H$1300+$H$1301*$H$1302*$H$1303/1000000)/2000</f>
        <v>570.67482485925461</v>
      </c>
      <c r="I1304" s="509">
        <f>($I$1298*$I$1299*$I$1300+$I$1301*$I$1302*$I$1303/1000000)/2000</f>
        <v>4.0010842254885934E-7</v>
      </c>
      <c r="J1304" s="508"/>
    </row>
    <row r="1305" spans="1:10" ht="21" customHeight="1">
      <c r="A1305" s="510" t="s">
        <v>929</v>
      </c>
      <c r="B1305" s="506"/>
      <c r="C1305" s="506"/>
      <c r="D1305" s="511"/>
      <c r="E1305" s="511"/>
      <c r="F1305" s="511"/>
      <c r="G1305" s="511"/>
      <c r="H1305" s="511"/>
      <c r="I1305" s="512"/>
      <c r="J1305" s="506"/>
    </row>
    <row r="1306" spans="1:10" ht="21" customHeight="1">
      <c r="A1306" s="507" t="s">
        <v>929</v>
      </c>
      <c r="B1306" s="508" t="s">
        <v>926</v>
      </c>
      <c r="C1306" s="508" t="s">
        <v>411</v>
      </c>
      <c r="D1306" s="509">
        <f>$D$1154+$D$1155+$D$1224</f>
        <v>31.676695861099994</v>
      </c>
      <c r="E1306" s="509">
        <f>$E$1154+$E$1155+$E$1224</f>
        <v>15.9708916022</v>
      </c>
      <c r="F1306" s="509">
        <f>$F$1154+$F$1155+$F$1224</f>
        <v>0.37835503770000001</v>
      </c>
      <c r="G1306" s="509">
        <f>$G$1154+$G$1155+$G$1224</f>
        <v>25.517368897800001</v>
      </c>
      <c r="H1306" s="509">
        <f>$H$1154+$H$1155+$H$1224</f>
        <v>24.008014232499999</v>
      </c>
      <c r="I1306" s="509">
        <f>$I$1154+$I$1155+$I$1224</f>
        <v>45.400406636852253</v>
      </c>
      <c r="J1306" s="508" t="s">
        <v>12</v>
      </c>
    </row>
    <row r="1307" spans="1:10" ht="21" customHeight="1">
      <c r="A1307" s="507" t="s">
        <v>929</v>
      </c>
      <c r="B1307" s="508" t="s">
        <v>661</v>
      </c>
      <c r="C1307" s="508" t="s">
        <v>411</v>
      </c>
      <c r="D1307" s="509">
        <f>$D$1164+$D$1165+$D$1230</f>
        <v>305.73349610697056</v>
      </c>
      <c r="E1307" s="509">
        <f>$E$1164+$E$1165+$E$1230</f>
        <v>152.36199982960059</v>
      </c>
      <c r="F1307" s="509">
        <f>$F$1164+$F$1165+$F$1230</f>
        <v>1.0533371536256091</v>
      </c>
      <c r="G1307" s="509">
        <f>$G$1164+$G$1165+$G$1230</f>
        <v>211.42501517588309</v>
      </c>
      <c r="H1307" s="509">
        <f>$H$1164+$H$1165+$H$1230</f>
        <v>230.99729792419561</v>
      </c>
      <c r="I1307" s="509">
        <f>$I$1164+$I$1165+$I$1230</f>
        <v>432.63408791760065</v>
      </c>
      <c r="J1307" s="508" t="s">
        <v>13</v>
      </c>
    </row>
    <row r="1308" spans="1:10" ht="21" customHeight="1">
      <c r="A1308" s="507" t="s">
        <v>929</v>
      </c>
      <c r="B1308" s="508" t="s">
        <v>662</v>
      </c>
      <c r="C1308" s="508" t="s">
        <v>411</v>
      </c>
      <c r="D1308" s="509">
        <f>$D$1172+$D$1173+$D$1215</f>
        <v>236.55012622169997</v>
      </c>
      <c r="E1308" s="509">
        <f>$E$1172+$E$1173+$E$1215</f>
        <v>120.73761528119999</v>
      </c>
      <c r="F1308" s="509">
        <f>$F$1172+$F$1173+$F$1215</f>
        <v>9.8015464506000018</v>
      </c>
      <c r="G1308" s="509">
        <f>$G$1172+$G$1173+$G$1215</f>
        <v>242.68820776530004</v>
      </c>
      <c r="H1308" s="509">
        <f>$H$1172+$H$1173+$H$1215</f>
        <v>174.6990169689</v>
      </c>
      <c r="I1308" s="509">
        <f>$I$1172+$I$1173+$I$1215</f>
        <v>331.62797900487487</v>
      </c>
      <c r="J1308" s="508" t="s">
        <v>14</v>
      </c>
    </row>
    <row r="1309" spans="1:10" ht="21" customHeight="1">
      <c r="A1309" s="507" t="s">
        <v>929</v>
      </c>
      <c r="B1309" s="508" t="s">
        <v>663</v>
      </c>
      <c r="C1309" s="508" t="s">
        <v>411</v>
      </c>
      <c r="D1309" s="509">
        <f>$D$1182+$D$1183+$D$1221</f>
        <v>3.3125255779699998</v>
      </c>
      <c r="E1309" s="509">
        <f>$E$1182+$E$1183+$E$1221</f>
        <v>1.68498756076</v>
      </c>
      <c r="F1309" s="509">
        <f>$F$1182+$F$1183+$F$1221</f>
        <v>8.3611644100000021E-2</v>
      </c>
      <c r="G1309" s="509">
        <f>$G$1182+$G$1183+$G$1221</f>
        <v>3.4481234252100004</v>
      </c>
      <c r="H1309" s="509">
        <f>$H$1182+$H$1183+$H$1221</f>
        <v>2.43743867356</v>
      </c>
      <c r="I1309" s="509">
        <f>$I$1182+$I$1183+$I$1221</f>
        <v>4.6642847253553308</v>
      </c>
      <c r="J1309" s="508" t="s">
        <v>866</v>
      </c>
    </row>
    <row r="1310" spans="1:10" ht="21" customHeight="1">
      <c r="A1310" s="507" t="s">
        <v>929</v>
      </c>
      <c r="B1310" s="508" t="s">
        <v>664</v>
      </c>
      <c r="C1310" s="508" t="s">
        <v>411</v>
      </c>
      <c r="D1310" s="509">
        <f>$D$1192+$D$1193+$D$1218</f>
        <v>21.409240715199999</v>
      </c>
      <c r="E1310" s="509">
        <f>$E$1192+$E$1193+$E$1218</f>
        <v>10.9487948864</v>
      </c>
      <c r="F1310" s="509">
        <f>$F$1192+$F$1193+$F$1218</f>
        <v>0.4324586768</v>
      </c>
      <c r="G1310" s="509">
        <f>$G$1192+$G$1193+$G$1218</f>
        <v>20.414510179200001</v>
      </c>
      <c r="H1310" s="509">
        <f>$H$1192+$H$1193+$H$1218</f>
        <v>16.004466177499999</v>
      </c>
      <c r="I1310" s="509">
        <f>$I$1192+$I$1193+$I$1218</f>
        <v>30.707195988212401</v>
      </c>
      <c r="J1310" s="508" t="s">
        <v>667</v>
      </c>
    </row>
    <row r="1311" spans="1:10" ht="21" customHeight="1">
      <c r="A1311" s="507" t="s">
        <v>929</v>
      </c>
      <c r="B1311" s="508" t="s">
        <v>665</v>
      </c>
      <c r="C1311" s="508" t="s">
        <v>411</v>
      </c>
      <c r="D1311" s="509">
        <f>$D$1202+$D$1203+$D$1236</f>
        <v>6.7586594660000001E-3</v>
      </c>
      <c r="E1311" s="509">
        <f>$E$1202+$E$1203+$E$1236</f>
        <v>3.4202622220000003E-3</v>
      </c>
      <c r="F1311" s="509">
        <f>$F$1202+$F$1203+$F$1236</f>
        <v>2.7565489900000005E-4</v>
      </c>
      <c r="G1311" s="509">
        <f>$G$1202+$G$1203+$G$1236</f>
        <v>7.9470540660000009E-3</v>
      </c>
      <c r="H1311" s="509">
        <f>$H$1202+$H$1203+$H$1236</f>
        <v>5.1044123500000003E-3</v>
      </c>
      <c r="I1311" s="509">
        <f>$I$1202+$I$1203+$I$1236</f>
        <v>9.6967401340000009E-3</v>
      </c>
      <c r="J1311" s="508" t="s">
        <v>930</v>
      </c>
    </row>
    <row r="1312" spans="1:10" ht="21" customHeight="1">
      <c r="A1312" s="507" t="s">
        <v>929</v>
      </c>
      <c r="B1312" s="508" t="s">
        <v>565</v>
      </c>
      <c r="C1312" s="508" t="s">
        <v>411</v>
      </c>
      <c r="D1312" s="509">
        <f>$D$1210+$D$1211+$D$1239</f>
        <v>107317.54966789119</v>
      </c>
      <c r="E1312" s="509">
        <f>$E$1210+$E$1211+$E$1239</f>
        <v>54700.10666237722</v>
      </c>
      <c r="F1312" s="509">
        <f>$F$1210+$F$1211+$F$1239</f>
        <v>3313.2803916605408</v>
      </c>
      <c r="G1312" s="509">
        <f>$G$1210+$G$1211+$G$1239</f>
        <v>112038.69081982246</v>
      </c>
      <c r="H1312" s="509">
        <f>$H$1210+$H$1211+$H$1239</f>
        <v>81752.398069258401</v>
      </c>
      <c r="I1312" s="509">
        <f>$I$1210+$I$1211+$I$1239</f>
        <v>156062.21277200547</v>
      </c>
      <c r="J1312" s="508" t="s">
        <v>868</v>
      </c>
    </row>
    <row r="1313" spans="1:10" ht="21" customHeight="1">
      <c r="A1313" s="510" t="s">
        <v>931</v>
      </c>
      <c r="B1313" s="506"/>
      <c r="C1313" s="506"/>
      <c r="D1313" s="511"/>
      <c r="E1313" s="511"/>
      <c r="F1313" s="511"/>
      <c r="G1313" s="511"/>
      <c r="H1313" s="511"/>
      <c r="I1313" s="512"/>
      <c r="J1313" s="506"/>
    </row>
    <row r="1314" spans="1:10" ht="21" customHeight="1">
      <c r="A1314" s="507" t="s">
        <v>931</v>
      </c>
      <c r="B1314" s="508" t="s">
        <v>932</v>
      </c>
      <c r="C1314" s="508" t="s">
        <v>397</v>
      </c>
      <c r="D1314" s="509">
        <v>1E-3</v>
      </c>
      <c r="E1314" s="509"/>
      <c r="F1314" s="509"/>
      <c r="G1314" s="509"/>
      <c r="H1314" s="509"/>
      <c r="I1314" s="509"/>
      <c r="J1314" s="508" t="s">
        <v>59</v>
      </c>
    </row>
    <row r="1315" spans="1:10" ht="21" customHeight="1">
      <c r="A1315" s="507" t="s">
        <v>931</v>
      </c>
      <c r="B1315" s="508" t="s">
        <v>933</v>
      </c>
      <c r="C1315" s="508" t="s">
        <v>397</v>
      </c>
      <c r="D1315" s="509">
        <v>1E-3</v>
      </c>
      <c r="E1315" s="509"/>
      <c r="F1315" s="509"/>
      <c r="G1315" s="509"/>
      <c r="H1315" s="509"/>
      <c r="I1315" s="509"/>
      <c r="J1315" s="508" t="s">
        <v>59</v>
      </c>
    </row>
    <row r="1316" spans="1:10" ht="21" customHeight="1">
      <c r="A1316" s="507" t="s">
        <v>931</v>
      </c>
      <c r="B1316" s="508" t="s">
        <v>934</v>
      </c>
      <c r="C1316" s="508" t="s">
        <v>397</v>
      </c>
      <c r="D1316" s="509">
        <v>1E-3</v>
      </c>
      <c r="E1316" s="509"/>
      <c r="F1316" s="509"/>
      <c r="G1316" s="509"/>
      <c r="H1316" s="509"/>
      <c r="I1316" s="509"/>
      <c r="J1316" s="508" t="s">
        <v>59</v>
      </c>
    </row>
    <row r="1317" spans="1:10" ht="21" customHeight="1">
      <c r="A1317" s="507" t="s">
        <v>931</v>
      </c>
      <c r="B1317" s="508" t="s">
        <v>935</v>
      </c>
      <c r="C1317" s="508" t="s">
        <v>397</v>
      </c>
      <c r="D1317" s="509">
        <v>1E-3</v>
      </c>
      <c r="E1317" s="509"/>
      <c r="F1317" s="509"/>
      <c r="G1317" s="509"/>
      <c r="H1317" s="509"/>
      <c r="I1317" s="509"/>
      <c r="J1317" s="508" t="s">
        <v>59</v>
      </c>
    </row>
    <row r="1318" spans="1:10" ht="21" customHeight="1">
      <c r="A1318" s="507" t="s">
        <v>931</v>
      </c>
      <c r="B1318" s="508" t="s">
        <v>936</v>
      </c>
      <c r="C1318" s="508" t="s">
        <v>397</v>
      </c>
      <c r="D1318" s="509">
        <v>1E-3</v>
      </c>
      <c r="E1318" s="509"/>
      <c r="F1318" s="509"/>
      <c r="G1318" s="509"/>
      <c r="H1318" s="509"/>
      <c r="I1318" s="509"/>
      <c r="J1318" s="508" t="s">
        <v>59</v>
      </c>
    </row>
    <row r="1319" spans="1:10" ht="21" customHeight="1">
      <c r="A1319" s="507" t="s">
        <v>931</v>
      </c>
      <c r="B1319" s="508" t="s">
        <v>937</v>
      </c>
      <c r="C1319" s="508" t="s">
        <v>397</v>
      </c>
      <c r="D1319" s="509">
        <v>1E-3</v>
      </c>
      <c r="E1319" s="509"/>
      <c r="F1319" s="509"/>
      <c r="G1319" s="509"/>
      <c r="H1319" s="509"/>
      <c r="I1319" s="509"/>
      <c r="J1319" s="508" t="s">
        <v>59</v>
      </c>
    </row>
    <row r="1320" spans="1:10" ht="21" customHeight="1">
      <c r="A1320" s="507" t="s">
        <v>931</v>
      </c>
      <c r="B1320" s="508" t="s">
        <v>938</v>
      </c>
      <c r="C1320" s="508" t="s">
        <v>397</v>
      </c>
      <c r="D1320" s="509">
        <v>4.0000000000000002E-4</v>
      </c>
      <c r="E1320" s="509"/>
      <c r="F1320" s="509"/>
      <c r="G1320" s="509"/>
      <c r="H1320" s="509"/>
      <c r="I1320" s="509"/>
      <c r="J1320" s="508" t="s">
        <v>59</v>
      </c>
    </row>
    <row r="1321" spans="1:10" ht="21" customHeight="1">
      <c r="A1321" s="507" t="s">
        <v>931</v>
      </c>
      <c r="B1321" s="508" t="s">
        <v>939</v>
      </c>
      <c r="C1321" s="508" t="s">
        <v>397</v>
      </c>
      <c r="D1321" s="509">
        <v>1E-3</v>
      </c>
      <c r="E1321" s="509"/>
      <c r="F1321" s="509"/>
      <c r="G1321" s="509"/>
      <c r="H1321" s="509"/>
      <c r="I1321" s="509"/>
      <c r="J1321" s="508" t="s">
        <v>59</v>
      </c>
    </row>
    <row r="1322" spans="1:10" ht="21" customHeight="1">
      <c r="A1322" s="507" t="s">
        <v>931</v>
      </c>
      <c r="B1322" s="508" t="s">
        <v>940</v>
      </c>
      <c r="C1322" s="508" t="s">
        <v>397</v>
      </c>
      <c r="D1322" s="509">
        <v>1E-3</v>
      </c>
      <c r="E1322" s="509"/>
      <c r="F1322" s="509"/>
      <c r="G1322" s="509"/>
      <c r="H1322" s="509"/>
      <c r="I1322" s="509"/>
      <c r="J1322" s="508" t="s">
        <v>59</v>
      </c>
    </row>
    <row r="1323" spans="1:10" ht="21" customHeight="1">
      <c r="A1323" s="507" t="s">
        <v>931</v>
      </c>
      <c r="B1323" s="508" t="s">
        <v>941</v>
      </c>
      <c r="C1323" s="508" t="s">
        <v>397</v>
      </c>
      <c r="D1323" s="509">
        <v>1E-3</v>
      </c>
      <c r="E1323" s="509"/>
      <c r="F1323" s="509"/>
      <c r="G1323" s="509"/>
      <c r="H1323" s="509"/>
      <c r="I1323" s="509"/>
      <c r="J1323" s="508" t="s">
        <v>59</v>
      </c>
    </row>
    <row r="1324" spans="1:10" ht="21" customHeight="1">
      <c r="A1324" s="507" t="s">
        <v>931</v>
      </c>
      <c r="B1324" s="508" t="s">
        <v>942</v>
      </c>
      <c r="C1324" s="508" t="s">
        <v>397</v>
      </c>
      <c r="D1324" s="509">
        <v>1E-3</v>
      </c>
      <c r="E1324" s="509"/>
      <c r="F1324" s="509"/>
      <c r="G1324" s="509"/>
      <c r="H1324" s="509"/>
      <c r="I1324" s="509"/>
      <c r="J1324" s="508" t="s">
        <v>59</v>
      </c>
    </row>
    <row r="1325" spans="1:10" ht="21" customHeight="1">
      <c r="A1325" s="507" t="s">
        <v>931</v>
      </c>
      <c r="B1325" s="508" t="s">
        <v>943</v>
      </c>
      <c r="C1325" s="508" t="s">
        <v>397</v>
      </c>
      <c r="D1325" s="509">
        <v>1E-3</v>
      </c>
      <c r="E1325" s="509"/>
      <c r="F1325" s="509"/>
      <c r="G1325" s="509"/>
      <c r="H1325" s="509"/>
      <c r="I1325" s="509"/>
      <c r="J1325" s="508" t="s">
        <v>59</v>
      </c>
    </row>
    <row r="1326" spans="1:10" ht="21" customHeight="1">
      <c r="A1326" s="507" t="s">
        <v>931</v>
      </c>
      <c r="B1326" s="508" t="s">
        <v>944</v>
      </c>
      <c r="C1326" s="508" t="s">
        <v>397</v>
      </c>
      <c r="D1326" s="509">
        <v>1E-3</v>
      </c>
      <c r="E1326" s="509"/>
      <c r="F1326" s="509"/>
      <c r="G1326" s="509"/>
      <c r="H1326" s="509"/>
      <c r="I1326" s="509"/>
      <c r="J1326" s="508" t="s">
        <v>398</v>
      </c>
    </row>
    <row r="1327" spans="1:10" ht="21" customHeight="1">
      <c r="A1327" s="507" t="s">
        <v>931</v>
      </c>
      <c r="B1327" s="508" t="s">
        <v>945</v>
      </c>
      <c r="C1327" s="508" t="s">
        <v>397</v>
      </c>
      <c r="D1327" s="509">
        <v>1E-3</v>
      </c>
      <c r="E1327" s="509"/>
      <c r="F1327" s="509"/>
      <c r="G1327" s="509"/>
      <c r="H1327" s="509"/>
      <c r="I1327" s="509"/>
      <c r="J1327" s="508" t="s">
        <v>398</v>
      </c>
    </row>
    <row r="1328" spans="1:10" ht="21" customHeight="1">
      <c r="A1328" s="507" t="s">
        <v>931</v>
      </c>
      <c r="B1328" s="508" t="s">
        <v>946</v>
      </c>
      <c r="C1328" s="508" t="s">
        <v>397</v>
      </c>
      <c r="D1328" s="509">
        <v>1E-3</v>
      </c>
      <c r="E1328" s="509"/>
      <c r="F1328" s="509"/>
      <c r="G1328" s="509"/>
      <c r="H1328" s="509"/>
      <c r="I1328" s="509"/>
      <c r="J1328" s="508" t="s">
        <v>398</v>
      </c>
    </row>
    <row r="1329" spans="1:10" ht="21" customHeight="1">
      <c r="A1329" s="507" t="s">
        <v>931</v>
      </c>
      <c r="B1329" s="508" t="s">
        <v>947</v>
      </c>
      <c r="C1329" s="508" t="s">
        <v>397</v>
      </c>
      <c r="D1329" s="509">
        <v>1E-3</v>
      </c>
      <c r="E1329" s="509"/>
      <c r="F1329" s="509"/>
      <c r="G1329" s="509"/>
      <c r="H1329" s="509"/>
      <c r="I1329" s="509"/>
      <c r="J1329" s="508" t="s">
        <v>398</v>
      </c>
    </row>
    <row r="1330" spans="1:10" ht="21" customHeight="1">
      <c r="A1330" s="507" t="s">
        <v>931</v>
      </c>
      <c r="B1330" s="508" t="s">
        <v>948</v>
      </c>
      <c r="C1330" s="508" t="s">
        <v>397</v>
      </c>
      <c r="D1330" s="509">
        <v>1E-3</v>
      </c>
      <c r="E1330" s="509"/>
      <c r="F1330" s="509"/>
      <c r="G1330" s="509"/>
      <c r="H1330" s="509"/>
      <c r="I1330" s="509"/>
      <c r="J1330" s="508" t="s">
        <v>398</v>
      </c>
    </row>
    <row r="1331" spans="1:10" ht="21" customHeight="1">
      <c r="A1331" s="507" t="s">
        <v>931</v>
      </c>
      <c r="B1331" s="508" t="s">
        <v>949</v>
      </c>
      <c r="C1331" s="508" t="s">
        <v>397</v>
      </c>
      <c r="D1331" s="509">
        <v>1E-3</v>
      </c>
      <c r="E1331" s="509"/>
      <c r="F1331" s="509"/>
      <c r="G1331" s="509"/>
      <c r="H1331" s="509"/>
      <c r="I1331" s="509"/>
      <c r="J1331" s="508" t="s">
        <v>398</v>
      </c>
    </row>
    <row r="1332" spans="1:10" ht="21" customHeight="1">
      <c r="A1332" s="507" t="s">
        <v>931</v>
      </c>
      <c r="B1332" s="508" t="s">
        <v>407</v>
      </c>
      <c r="C1332" s="508" t="s">
        <v>397</v>
      </c>
      <c r="D1332" s="509">
        <v>0</v>
      </c>
      <c r="E1332" s="509"/>
      <c r="F1332" s="509"/>
      <c r="G1332" s="509"/>
      <c r="H1332" s="509"/>
      <c r="I1332" s="509"/>
      <c r="J1332" s="508" t="s">
        <v>398</v>
      </c>
    </row>
    <row r="1333" spans="1:10" ht="21" customHeight="1">
      <c r="A1333" s="507" t="s">
        <v>931</v>
      </c>
      <c r="B1333" s="508" t="s">
        <v>409</v>
      </c>
      <c r="C1333" s="508" t="s">
        <v>397</v>
      </c>
      <c r="D1333" s="509">
        <v>0</v>
      </c>
      <c r="E1333" s="509"/>
      <c r="F1333" s="509"/>
      <c r="G1333" s="509"/>
      <c r="H1333" s="509"/>
      <c r="I1333" s="509"/>
      <c r="J1333" s="508" t="s">
        <v>398</v>
      </c>
    </row>
    <row r="1334" spans="1:10" ht="21" customHeight="1">
      <c r="A1334" s="507" t="s">
        <v>931</v>
      </c>
      <c r="B1334" s="508" t="s">
        <v>414</v>
      </c>
      <c r="C1334" s="508" t="s">
        <v>397</v>
      </c>
      <c r="D1334" s="509">
        <v>0</v>
      </c>
      <c r="E1334" s="509"/>
      <c r="F1334" s="509"/>
      <c r="G1334" s="509"/>
      <c r="H1334" s="509"/>
      <c r="I1334" s="509"/>
      <c r="J1334" s="508" t="s">
        <v>398</v>
      </c>
    </row>
    <row r="1335" spans="1:10" ht="21" customHeight="1">
      <c r="A1335" s="507" t="s">
        <v>931</v>
      </c>
      <c r="B1335" s="508" t="s">
        <v>415</v>
      </c>
      <c r="C1335" s="508" t="s">
        <v>397</v>
      </c>
      <c r="D1335" s="509">
        <v>0</v>
      </c>
      <c r="E1335" s="509"/>
      <c r="F1335" s="509"/>
      <c r="G1335" s="509"/>
      <c r="H1335" s="509"/>
      <c r="I1335" s="509"/>
      <c r="J1335" s="508" t="s">
        <v>398</v>
      </c>
    </row>
    <row r="1336" spans="1:10" ht="21" customHeight="1">
      <c r="A1336" s="507" t="s">
        <v>931</v>
      </c>
      <c r="B1336" s="508" t="s">
        <v>677</v>
      </c>
      <c r="C1336" s="508" t="s">
        <v>397</v>
      </c>
      <c r="D1336" s="509">
        <v>0</v>
      </c>
      <c r="E1336" s="509"/>
      <c r="F1336" s="509"/>
      <c r="G1336" s="509"/>
      <c r="H1336" s="509"/>
      <c r="I1336" s="509"/>
      <c r="J1336" s="508" t="s">
        <v>398</v>
      </c>
    </row>
    <row r="1337" spans="1:10" ht="21" customHeight="1">
      <c r="A1337" s="507" t="s">
        <v>931</v>
      </c>
      <c r="B1337" s="508" t="s">
        <v>678</v>
      </c>
      <c r="C1337" s="508" t="s">
        <v>397</v>
      </c>
      <c r="D1337" s="509">
        <v>119569</v>
      </c>
      <c r="E1337" s="509"/>
      <c r="F1337" s="509"/>
      <c r="G1337" s="509"/>
      <c r="H1337" s="509"/>
      <c r="I1337" s="509"/>
      <c r="J1337" s="508" t="s">
        <v>398</v>
      </c>
    </row>
    <row r="1338" spans="1:10" ht="21" customHeight="1">
      <c r="A1338" s="507" t="s">
        <v>931</v>
      </c>
      <c r="B1338" s="508" t="s">
        <v>950</v>
      </c>
      <c r="C1338" s="508" t="s">
        <v>397</v>
      </c>
      <c r="D1338" s="509">
        <v>0</v>
      </c>
      <c r="E1338" s="509"/>
      <c r="F1338" s="509"/>
      <c r="G1338" s="509"/>
      <c r="H1338" s="509"/>
      <c r="I1338" s="509"/>
      <c r="J1338" s="508" t="s">
        <v>398</v>
      </c>
    </row>
    <row r="1339" spans="1:10" ht="21" customHeight="1">
      <c r="A1339" s="507" t="s">
        <v>931</v>
      </c>
      <c r="B1339" s="508" t="s">
        <v>951</v>
      </c>
      <c r="C1339" s="508" t="s">
        <v>397</v>
      </c>
      <c r="D1339" s="509">
        <v>0</v>
      </c>
      <c r="E1339" s="509"/>
      <c r="F1339" s="509"/>
      <c r="G1339" s="509"/>
      <c r="H1339" s="509"/>
      <c r="I1339" s="509"/>
      <c r="J1339" s="508" t="s">
        <v>398</v>
      </c>
    </row>
    <row r="1340" spans="1:10" ht="21" customHeight="1">
      <c r="A1340" s="507" t="s">
        <v>931</v>
      </c>
      <c r="B1340" s="508" t="s">
        <v>952</v>
      </c>
      <c r="C1340" s="508" t="s">
        <v>397</v>
      </c>
      <c r="D1340" s="509">
        <v>1E-3</v>
      </c>
      <c r="E1340" s="509"/>
      <c r="F1340" s="509"/>
      <c r="G1340" s="509"/>
      <c r="H1340" s="509"/>
      <c r="I1340" s="509"/>
      <c r="J1340" s="508" t="s">
        <v>398</v>
      </c>
    </row>
    <row r="1341" spans="1:10" ht="21" customHeight="1">
      <c r="A1341" s="507" t="s">
        <v>931</v>
      </c>
      <c r="B1341" s="508" t="s">
        <v>953</v>
      </c>
      <c r="C1341" s="508" t="s">
        <v>397</v>
      </c>
      <c r="D1341" s="509">
        <v>1E-3</v>
      </c>
      <c r="E1341" s="509"/>
      <c r="F1341" s="509"/>
      <c r="G1341" s="509"/>
      <c r="H1341" s="509"/>
      <c r="I1341" s="509"/>
      <c r="J1341" s="508" t="s">
        <v>398</v>
      </c>
    </row>
    <row r="1342" spans="1:10" ht="21" customHeight="1">
      <c r="A1342" s="507" t="s">
        <v>931</v>
      </c>
      <c r="B1342" s="508" t="s">
        <v>954</v>
      </c>
      <c r="C1342" s="508" t="s">
        <v>397</v>
      </c>
      <c r="D1342" s="509">
        <v>1E-3</v>
      </c>
      <c r="E1342" s="509"/>
      <c r="F1342" s="509"/>
      <c r="G1342" s="509"/>
      <c r="H1342" s="509"/>
      <c r="I1342" s="509"/>
      <c r="J1342" s="508" t="s">
        <v>398</v>
      </c>
    </row>
    <row r="1343" spans="1:10" ht="21" customHeight="1">
      <c r="A1343" s="507" t="s">
        <v>931</v>
      </c>
      <c r="B1343" s="508" t="s">
        <v>955</v>
      </c>
      <c r="C1343" s="508" t="s">
        <v>397</v>
      </c>
      <c r="D1343" s="509">
        <v>1E-3</v>
      </c>
      <c r="E1343" s="509"/>
      <c r="F1343" s="509"/>
      <c r="G1343" s="509"/>
      <c r="H1343" s="509"/>
      <c r="I1343" s="509"/>
      <c r="J1343" s="508" t="s">
        <v>398</v>
      </c>
    </row>
    <row r="1344" spans="1:10" ht="21" customHeight="1">
      <c r="A1344" s="507" t="s">
        <v>931</v>
      </c>
      <c r="B1344" s="508" t="s">
        <v>956</v>
      </c>
      <c r="C1344" s="508" t="s">
        <v>397</v>
      </c>
      <c r="D1344" s="509">
        <v>1E-3</v>
      </c>
      <c r="E1344" s="509"/>
      <c r="F1344" s="509"/>
      <c r="G1344" s="509"/>
      <c r="H1344" s="509"/>
      <c r="I1344" s="509"/>
      <c r="J1344" s="508" t="s">
        <v>398</v>
      </c>
    </row>
    <row r="1345" spans="1:10" ht="21" customHeight="1">
      <c r="A1345" s="507" t="s">
        <v>931</v>
      </c>
      <c r="B1345" s="508" t="s">
        <v>957</v>
      </c>
      <c r="C1345" s="508" t="s">
        <v>397</v>
      </c>
      <c r="D1345" s="509">
        <v>1E-3</v>
      </c>
      <c r="E1345" s="509"/>
      <c r="F1345" s="509"/>
      <c r="G1345" s="509"/>
      <c r="H1345" s="509"/>
      <c r="I1345" s="509"/>
      <c r="J1345" s="508" t="s">
        <v>398</v>
      </c>
    </row>
    <row r="1346" spans="1:10" ht="21" customHeight="1">
      <c r="A1346" s="507" t="s">
        <v>931</v>
      </c>
      <c r="B1346" s="508" t="s">
        <v>958</v>
      </c>
      <c r="C1346" s="508" t="s">
        <v>397</v>
      </c>
      <c r="D1346" s="509">
        <v>1E-3</v>
      </c>
      <c r="E1346" s="509">
        <v>0.01</v>
      </c>
      <c r="F1346" s="509"/>
      <c r="G1346" s="509"/>
      <c r="H1346" s="509"/>
      <c r="I1346" s="509"/>
      <c r="J1346" s="508" t="s">
        <v>412</v>
      </c>
    </row>
    <row r="1347" spans="1:10" ht="21" customHeight="1">
      <c r="A1347" s="507" t="s">
        <v>931</v>
      </c>
      <c r="B1347" s="508" t="s">
        <v>959</v>
      </c>
      <c r="C1347" s="508" t="s">
        <v>397</v>
      </c>
      <c r="D1347" s="509">
        <v>1E-3</v>
      </c>
      <c r="E1347" s="509">
        <v>0.01</v>
      </c>
      <c r="F1347" s="509"/>
      <c r="G1347" s="509"/>
      <c r="H1347" s="509"/>
      <c r="I1347" s="509"/>
      <c r="J1347" s="508" t="s">
        <v>412</v>
      </c>
    </row>
    <row r="1348" spans="1:10" ht="21" customHeight="1">
      <c r="A1348" s="507" t="s">
        <v>931</v>
      </c>
      <c r="B1348" s="508" t="s">
        <v>960</v>
      </c>
      <c r="C1348" s="508" t="s">
        <v>397</v>
      </c>
      <c r="D1348" s="509">
        <v>1E-3</v>
      </c>
      <c r="E1348" s="509">
        <v>0.01</v>
      </c>
      <c r="F1348" s="509"/>
      <c r="G1348" s="509"/>
      <c r="H1348" s="509"/>
      <c r="I1348" s="509"/>
      <c r="J1348" s="508" t="s">
        <v>412</v>
      </c>
    </row>
    <row r="1349" spans="1:10" ht="21" customHeight="1">
      <c r="A1349" s="507" t="s">
        <v>931</v>
      </c>
      <c r="B1349" s="508" t="s">
        <v>961</v>
      </c>
      <c r="C1349" s="508" t="s">
        <v>397</v>
      </c>
      <c r="D1349" s="509">
        <v>1E-3</v>
      </c>
      <c r="E1349" s="509">
        <v>0.01</v>
      </c>
      <c r="F1349" s="509"/>
      <c r="G1349" s="509"/>
      <c r="H1349" s="509"/>
      <c r="I1349" s="509"/>
      <c r="J1349" s="508" t="s">
        <v>412</v>
      </c>
    </row>
    <row r="1350" spans="1:10" ht="21" customHeight="1">
      <c r="A1350" s="507" t="s">
        <v>931</v>
      </c>
      <c r="B1350" s="508" t="s">
        <v>962</v>
      </c>
      <c r="C1350" s="508" t="s">
        <v>397</v>
      </c>
      <c r="D1350" s="509">
        <v>1E-3</v>
      </c>
      <c r="E1350" s="509">
        <v>0.01</v>
      </c>
      <c r="F1350" s="509"/>
      <c r="G1350" s="509"/>
      <c r="H1350" s="509"/>
      <c r="I1350" s="509"/>
      <c r="J1350" s="508" t="s">
        <v>412</v>
      </c>
    </row>
    <row r="1351" spans="1:10" ht="21" customHeight="1">
      <c r="A1351" s="507" t="s">
        <v>931</v>
      </c>
      <c r="B1351" s="508" t="s">
        <v>963</v>
      </c>
      <c r="C1351" s="508" t="s">
        <v>397</v>
      </c>
      <c r="D1351" s="509">
        <v>1E-3</v>
      </c>
      <c r="E1351" s="509">
        <v>0.01</v>
      </c>
      <c r="F1351" s="509"/>
      <c r="G1351" s="509"/>
      <c r="H1351" s="509"/>
      <c r="I1351" s="509"/>
      <c r="J1351" s="508" t="s">
        <v>412</v>
      </c>
    </row>
    <row r="1352" spans="1:10" ht="21" customHeight="1">
      <c r="A1352" s="507" t="s">
        <v>931</v>
      </c>
      <c r="B1352" s="508" t="s">
        <v>420</v>
      </c>
      <c r="C1352" s="508" t="s">
        <v>397</v>
      </c>
      <c r="D1352" s="509"/>
      <c r="E1352" s="509">
        <v>0</v>
      </c>
      <c r="F1352" s="509"/>
      <c r="G1352" s="509"/>
      <c r="H1352" s="509"/>
      <c r="I1352" s="509"/>
      <c r="J1352" s="508" t="s">
        <v>412</v>
      </c>
    </row>
    <row r="1353" spans="1:10" ht="21" customHeight="1">
      <c r="A1353" s="507" t="s">
        <v>931</v>
      </c>
      <c r="B1353" s="508" t="s">
        <v>422</v>
      </c>
      <c r="C1353" s="508" t="s">
        <v>397</v>
      </c>
      <c r="D1353" s="509"/>
      <c r="E1353" s="509">
        <v>0</v>
      </c>
      <c r="F1353" s="509"/>
      <c r="G1353" s="509"/>
      <c r="H1353" s="509"/>
      <c r="I1353" s="509"/>
      <c r="J1353" s="508" t="s">
        <v>412</v>
      </c>
    </row>
    <row r="1354" spans="1:10" ht="21" customHeight="1">
      <c r="A1354" s="507" t="s">
        <v>931</v>
      </c>
      <c r="B1354" s="508" t="s">
        <v>425</v>
      </c>
      <c r="C1354" s="508" t="s">
        <v>397</v>
      </c>
      <c r="D1354" s="509"/>
      <c r="E1354" s="509">
        <v>0</v>
      </c>
      <c r="F1354" s="509"/>
      <c r="G1354" s="509"/>
      <c r="H1354" s="509"/>
      <c r="I1354" s="509"/>
      <c r="J1354" s="508" t="s">
        <v>412</v>
      </c>
    </row>
    <row r="1355" spans="1:10" ht="21" customHeight="1">
      <c r="A1355" s="507" t="s">
        <v>931</v>
      </c>
      <c r="B1355" s="508" t="s">
        <v>426</v>
      </c>
      <c r="C1355" s="508" t="s">
        <v>397</v>
      </c>
      <c r="D1355" s="509"/>
      <c r="E1355" s="509">
        <v>0</v>
      </c>
      <c r="F1355" s="509"/>
      <c r="G1355" s="509"/>
      <c r="H1355" s="509"/>
      <c r="I1355" s="509"/>
      <c r="J1355" s="508" t="s">
        <v>412</v>
      </c>
    </row>
    <row r="1356" spans="1:10" ht="21" customHeight="1">
      <c r="A1356" s="507" t="s">
        <v>931</v>
      </c>
      <c r="B1356" s="508" t="s">
        <v>680</v>
      </c>
      <c r="C1356" s="508" t="s">
        <v>397</v>
      </c>
      <c r="D1356" s="509"/>
      <c r="E1356" s="509">
        <v>0</v>
      </c>
      <c r="F1356" s="509"/>
      <c r="G1356" s="509"/>
      <c r="H1356" s="509"/>
      <c r="I1356" s="509"/>
      <c r="J1356" s="508" t="s">
        <v>412</v>
      </c>
    </row>
    <row r="1357" spans="1:10" ht="21" customHeight="1">
      <c r="A1357" s="507" t="s">
        <v>931</v>
      </c>
      <c r="B1357" s="508" t="s">
        <v>681</v>
      </c>
      <c r="C1357" s="508" t="s">
        <v>397</v>
      </c>
      <c r="D1357" s="509"/>
      <c r="E1357" s="509">
        <v>0</v>
      </c>
      <c r="F1357" s="509"/>
      <c r="G1357" s="509"/>
      <c r="H1357" s="509"/>
      <c r="I1357" s="509"/>
      <c r="J1357" s="508" t="s">
        <v>412</v>
      </c>
    </row>
    <row r="1358" spans="1:10" ht="21" customHeight="1">
      <c r="A1358" s="507" t="s">
        <v>931</v>
      </c>
      <c r="B1358" s="508" t="s">
        <v>964</v>
      </c>
      <c r="C1358" s="508" t="s">
        <v>397</v>
      </c>
      <c r="D1358" s="509"/>
      <c r="E1358" s="509">
        <v>0</v>
      </c>
      <c r="F1358" s="509"/>
      <c r="G1358" s="509"/>
      <c r="H1358" s="509"/>
      <c r="I1358" s="509"/>
      <c r="J1358" s="508" t="s">
        <v>412</v>
      </c>
    </row>
    <row r="1359" spans="1:10" ht="21" customHeight="1">
      <c r="A1359" s="507" t="s">
        <v>931</v>
      </c>
      <c r="B1359" s="508" t="s">
        <v>965</v>
      </c>
      <c r="C1359" s="508" t="s">
        <v>397</v>
      </c>
      <c r="D1359" s="509"/>
      <c r="E1359" s="509">
        <v>0</v>
      </c>
      <c r="F1359" s="509"/>
      <c r="G1359" s="509"/>
      <c r="H1359" s="509"/>
      <c r="I1359" s="509"/>
      <c r="J1359" s="508" t="s">
        <v>412</v>
      </c>
    </row>
    <row r="1360" spans="1:10" ht="21" customHeight="1">
      <c r="A1360" s="507" t="s">
        <v>931</v>
      </c>
      <c r="B1360" s="508" t="s">
        <v>966</v>
      </c>
      <c r="C1360" s="508" t="s">
        <v>397</v>
      </c>
      <c r="D1360" s="509">
        <v>1E-3</v>
      </c>
      <c r="E1360" s="509">
        <v>0.01</v>
      </c>
      <c r="F1360" s="509"/>
      <c r="G1360" s="509"/>
      <c r="H1360" s="509"/>
      <c r="I1360" s="509"/>
      <c r="J1360" s="508" t="s">
        <v>412</v>
      </c>
    </row>
    <row r="1361" spans="1:10" ht="21" customHeight="1">
      <c r="A1361" s="507" t="s">
        <v>931</v>
      </c>
      <c r="B1361" s="508" t="s">
        <v>967</v>
      </c>
      <c r="C1361" s="508" t="s">
        <v>397</v>
      </c>
      <c r="D1361" s="509">
        <v>1E-3</v>
      </c>
      <c r="E1361" s="509">
        <v>0.01</v>
      </c>
      <c r="F1361" s="509"/>
      <c r="G1361" s="509"/>
      <c r="H1361" s="509"/>
      <c r="I1361" s="509"/>
      <c r="J1361" s="508" t="s">
        <v>412</v>
      </c>
    </row>
    <row r="1362" spans="1:10" ht="21" customHeight="1">
      <c r="A1362" s="507" t="s">
        <v>931</v>
      </c>
      <c r="B1362" s="508" t="s">
        <v>968</v>
      </c>
      <c r="C1362" s="508" t="s">
        <v>397</v>
      </c>
      <c r="D1362" s="509">
        <v>1E-3</v>
      </c>
      <c r="E1362" s="509">
        <v>0.01</v>
      </c>
      <c r="F1362" s="509"/>
      <c r="G1362" s="509"/>
      <c r="H1362" s="509"/>
      <c r="I1362" s="509"/>
      <c r="J1362" s="508" t="s">
        <v>412</v>
      </c>
    </row>
    <row r="1363" spans="1:10" ht="21" customHeight="1">
      <c r="A1363" s="507" t="s">
        <v>931</v>
      </c>
      <c r="B1363" s="508" t="s">
        <v>969</v>
      </c>
      <c r="C1363" s="508" t="s">
        <v>397</v>
      </c>
      <c r="D1363" s="509">
        <v>1E-3</v>
      </c>
      <c r="E1363" s="509">
        <v>0.01</v>
      </c>
      <c r="F1363" s="509"/>
      <c r="G1363" s="509"/>
      <c r="H1363" s="509"/>
      <c r="I1363" s="509"/>
      <c r="J1363" s="508" t="s">
        <v>412</v>
      </c>
    </row>
    <row r="1364" spans="1:10" ht="21" customHeight="1">
      <c r="A1364" s="507" t="s">
        <v>931</v>
      </c>
      <c r="B1364" s="508" t="s">
        <v>970</v>
      </c>
      <c r="C1364" s="508" t="s">
        <v>397</v>
      </c>
      <c r="D1364" s="509">
        <v>1E-3</v>
      </c>
      <c r="E1364" s="509">
        <v>0.01</v>
      </c>
      <c r="F1364" s="509"/>
      <c r="G1364" s="509"/>
      <c r="H1364" s="509"/>
      <c r="I1364" s="509"/>
      <c r="J1364" s="508" t="s">
        <v>412</v>
      </c>
    </row>
    <row r="1365" spans="1:10" ht="21" customHeight="1">
      <c r="A1365" s="507" t="s">
        <v>931</v>
      </c>
      <c r="B1365" s="508" t="s">
        <v>971</v>
      </c>
      <c r="C1365" s="508" t="s">
        <v>397</v>
      </c>
      <c r="D1365" s="509">
        <v>1E-3</v>
      </c>
      <c r="E1365" s="509">
        <v>0.01</v>
      </c>
      <c r="F1365" s="509"/>
      <c r="G1365" s="509"/>
      <c r="H1365" s="509"/>
      <c r="I1365" s="509"/>
      <c r="J1365" s="508" t="s">
        <v>412</v>
      </c>
    </row>
    <row r="1366" spans="1:10" ht="21" customHeight="1">
      <c r="A1366" s="507" t="s">
        <v>931</v>
      </c>
      <c r="B1366" s="508" t="s">
        <v>972</v>
      </c>
      <c r="C1366" s="508" t="s">
        <v>397</v>
      </c>
      <c r="D1366" s="509">
        <v>1E-3</v>
      </c>
      <c r="E1366" s="509"/>
      <c r="F1366" s="509">
        <v>0.01</v>
      </c>
      <c r="G1366" s="509"/>
      <c r="H1366" s="509"/>
      <c r="I1366" s="509"/>
      <c r="J1366" s="508" t="s">
        <v>679</v>
      </c>
    </row>
    <row r="1367" spans="1:10" ht="21" customHeight="1">
      <c r="A1367" s="507" t="s">
        <v>931</v>
      </c>
      <c r="B1367" s="508" t="s">
        <v>973</v>
      </c>
      <c r="C1367" s="508" t="s">
        <v>397</v>
      </c>
      <c r="D1367" s="509">
        <v>1E-3</v>
      </c>
      <c r="E1367" s="509"/>
      <c r="F1367" s="509">
        <v>0.01</v>
      </c>
      <c r="G1367" s="509"/>
      <c r="H1367" s="509"/>
      <c r="I1367" s="509"/>
      <c r="J1367" s="508" t="s">
        <v>679</v>
      </c>
    </row>
    <row r="1368" spans="1:10" ht="21" customHeight="1">
      <c r="A1368" s="507" t="s">
        <v>931</v>
      </c>
      <c r="B1368" s="508" t="s">
        <v>974</v>
      </c>
      <c r="C1368" s="508" t="s">
        <v>397</v>
      </c>
      <c r="D1368" s="509">
        <v>1E-3</v>
      </c>
      <c r="E1368" s="509"/>
      <c r="F1368" s="509">
        <v>0.01</v>
      </c>
      <c r="G1368" s="509"/>
      <c r="H1368" s="509"/>
      <c r="I1368" s="509"/>
      <c r="J1368" s="508" t="s">
        <v>679</v>
      </c>
    </row>
    <row r="1369" spans="1:10" ht="21" customHeight="1">
      <c r="A1369" s="507" t="s">
        <v>931</v>
      </c>
      <c r="B1369" s="508" t="s">
        <v>975</v>
      </c>
      <c r="C1369" s="508" t="s">
        <v>397</v>
      </c>
      <c r="D1369" s="509">
        <v>1E-3</v>
      </c>
      <c r="E1369" s="509"/>
      <c r="F1369" s="509">
        <v>0.01</v>
      </c>
      <c r="G1369" s="509"/>
      <c r="H1369" s="509"/>
      <c r="I1369" s="509"/>
      <c r="J1369" s="508" t="s">
        <v>679</v>
      </c>
    </row>
    <row r="1370" spans="1:10" ht="21" customHeight="1">
      <c r="A1370" s="507" t="s">
        <v>931</v>
      </c>
      <c r="B1370" s="508" t="s">
        <v>976</v>
      </c>
      <c r="C1370" s="508" t="s">
        <v>397</v>
      </c>
      <c r="D1370" s="509">
        <v>1E-3</v>
      </c>
      <c r="E1370" s="509"/>
      <c r="F1370" s="509">
        <v>0.01</v>
      </c>
      <c r="G1370" s="509"/>
      <c r="H1370" s="509"/>
      <c r="I1370" s="509"/>
      <c r="J1370" s="508" t="s">
        <v>679</v>
      </c>
    </row>
    <row r="1371" spans="1:10" ht="21" customHeight="1">
      <c r="A1371" s="507" t="s">
        <v>931</v>
      </c>
      <c r="B1371" s="508" t="s">
        <v>977</v>
      </c>
      <c r="C1371" s="508" t="s">
        <v>397</v>
      </c>
      <c r="D1371" s="509">
        <v>1E-3</v>
      </c>
      <c r="E1371" s="509"/>
      <c r="F1371" s="509">
        <v>0.01</v>
      </c>
      <c r="G1371" s="509"/>
      <c r="H1371" s="509"/>
      <c r="I1371" s="509"/>
      <c r="J1371" s="508" t="s">
        <v>679</v>
      </c>
    </row>
    <row r="1372" spans="1:10" ht="21" customHeight="1">
      <c r="A1372" s="507" t="s">
        <v>931</v>
      </c>
      <c r="B1372" s="508" t="s">
        <v>431</v>
      </c>
      <c r="C1372" s="508" t="s">
        <v>397</v>
      </c>
      <c r="D1372" s="509"/>
      <c r="E1372" s="509"/>
      <c r="F1372" s="509">
        <v>0</v>
      </c>
      <c r="G1372" s="509"/>
      <c r="H1372" s="509"/>
      <c r="I1372" s="509"/>
      <c r="J1372" s="508" t="s">
        <v>679</v>
      </c>
    </row>
    <row r="1373" spans="1:10" ht="21" customHeight="1">
      <c r="A1373" s="507" t="s">
        <v>931</v>
      </c>
      <c r="B1373" s="508" t="s">
        <v>433</v>
      </c>
      <c r="C1373" s="508" t="s">
        <v>397</v>
      </c>
      <c r="D1373" s="509"/>
      <c r="E1373" s="509"/>
      <c r="F1373" s="509">
        <v>0</v>
      </c>
      <c r="G1373" s="509"/>
      <c r="H1373" s="509"/>
      <c r="I1373" s="509"/>
      <c r="J1373" s="508" t="s">
        <v>679</v>
      </c>
    </row>
    <row r="1374" spans="1:10" ht="21" customHeight="1">
      <c r="A1374" s="507" t="s">
        <v>931</v>
      </c>
      <c r="B1374" s="508" t="s">
        <v>436</v>
      </c>
      <c r="C1374" s="508" t="s">
        <v>397</v>
      </c>
      <c r="D1374" s="509"/>
      <c r="E1374" s="509"/>
      <c r="F1374" s="509">
        <v>0</v>
      </c>
      <c r="G1374" s="509"/>
      <c r="H1374" s="509"/>
      <c r="I1374" s="509"/>
      <c r="J1374" s="508" t="s">
        <v>679</v>
      </c>
    </row>
    <row r="1375" spans="1:10" ht="21" customHeight="1">
      <c r="A1375" s="507" t="s">
        <v>931</v>
      </c>
      <c r="B1375" s="508" t="s">
        <v>437</v>
      </c>
      <c r="C1375" s="508" t="s">
        <v>397</v>
      </c>
      <c r="D1375" s="509"/>
      <c r="E1375" s="509"/>
      <c r="F1375" s="509">
        <v>32301</v>
      </c>
      <c r="G1375" s="509"/>
      <c r="H1375" s="509"/>
      <c r="I1375" s="509"/>
      <c r="J1375" s="508" t="s">
        <v>679</v>
      </c>
    </row>
    <row r="1376" spans="1:10" ht="21" customHeight="1">
      <c r="A1376" s="507" t="s">
        <v>931</v>
      </c>
      <c r="B1376" s="508" t="s">
        <v>682</v>
      </c>
      <c r="C1376" s="508" t="s">
        <v>397</v>
      </c>
      <c r="D1376" s="509"/>
      <c r="E1376" s="509"/>
      <c r="F1376" s="509">
        <v>0</v>
      </c>
      <c r="G1376" s="509"/>
      <c r="H1376" s="509"/>
      <c r="I1376" s="509"/>
      <c r="J1376" s="508" t="s">
        <v>679</v>
      </c>
    </row>
    <row r="1377" spans="1:10" ht="21" customHeight="1">
      <c r="A1377" s="507" t="s">
        <v>931</v>
      </c>
      <c r="B1377" s="508" t="s">
        <v>683</v>
      </c>
      <c r="C1377" s="508" t="s">
        <v>397</v>
      </c>
      <c r="D1377" s="509"/>
      <c r="E1377" s="509"/>
      <c r="F1377" s="509">
        <v>0</v>
      </c>
      <c r="G1377" s="509"/>
      <c r="H1377" s="509"/>
      <c r="I1377" s="509"/>
      <c r="J1377" s="508" t="s">
        <v>679</v>
      </c>
    </row>
    <row r="1378" spans="1:10" ht="21" customHeight="1">
      <c r="A1378" s="507" t="s">
        <v>931</v>
      </c>
      <c r="B1378" s="508" t="s">
        <v>978</v>
      </c>
      <c r="C1378" s="508" t="s">
        <v>397</v>
      </c>
      <c r="D1378" s="509"/>
      <c r="E1378" s="509"/>
      <c r="F1378" s="509">
        <v>0</v>
      </c>
      <c r="G1378" s="509"/>
      <c r="H1378" s="509"/>
      <c r="I1378" s="509"/>
      <c r="J1378" s="508" t="s">
        <v>679</v>
      </c>
    </row>
    <row r="1379" spans="1:10" ht="21" customHeight="1">
      <c r="A1379" s="507" t="s">
        <v>931</v>
      </c>
      <c r="B1379" s="508" t="s">
        <v>979</v>
      </c>
      <c r="C1379" s="508" t="s">
        <v>397</v>
      </c>
      <c r="D1379" s="509"/>
      <c r="E1379" s="509"/>
      <c r="F1379" s="509">
        <v>68064</v>
      </c>
      <c r="G1379" s="509"/>
      <c r="H1379" s="509"/>
      <c r="I1379" s="509"/>
      <c r="J1379" s="508" t="s">
        <v>679</v>
      </c>
    </row>
    <row r="1380" spans="1:10" ht="21" customHeight="1">
      <c r="A1380" s="507" t="s">
        <v>931</v>
      </c>
      <c r="B1380" s="508" t="s">
        <v>980</v>
      </c>
      <c r="C1380" s="508" t="s">
        <v>397</v>
      </c>
      <c r="D1380" s="509">
        <v>1E-3</v>
      </c>
      <c r="E1380" s="509"/>
      <c r="F1380" s="509">
        <v>0.01</v>
      </c>
      <c r="G1380" s="509"/>
      <c r="H1380" s="509"/>
      <c r="I1380" s="509"/>
      <c r="J1380" s="508" t="s">
        <v>679</v>
      </c>
    </row>
    <row r="1381" spans="1:10" ht="21" customHeight="1">
      <c r="A1381" s="507" t="s">
        <v>931</v>
      </c>
      <c r="B1381" s="508" t="s">
        <v>981</v>
      </c>
      <c r="C1381" s="508" t="s">
        <v>397</v>
      </c>
      <c r="D1381" s="509">
        <v>1E-3</v>
      </c>
      <c r="E1381" s="509"/>
      <c r="F1381" s="509">
        <v>0.01</v>
      </c>
      <c r="G1381" s="509"/>
      <c r="H1381" s="509"/>
      <c r="I1381" s="509"/>
      <c r="J1381" s="508" t="s">
        <v>679</v>
      </c>
    </row>
    <row r="1382" spans="1:10" ht="21" customHeight="1">
      <c r="A1382" s="507" t="s">
        <v>931</v>
      </c>
      <c r="B1382" s="508" t="s">
        <v>982</v>
      </c>
      <c r="C1382" s="508" t="s">
        <v>397</v>
      </c>
      <c r="D1382" s="509">
        <v>1E-3</v>
      </c>
      <c r="E1382" s="509"/>
      <c r="F1382" s="509">
        <v>0.01</v>
      </c>
      <c r="G1382" s="509"/>
      <c r="H1382" s="509"/>
      <c r="I1382" s="509"/>
      <c r="J1382" s="508" t="s">
        <v>679</v>
      </c>
    </row>
    <row r="1383" spans="1:10" ht="21" customHeight="1">
      <c r="A1383" s="507" t="s">
        <v>931</v>
      </c>
      <c r="B1383" s="508" t="s">
        <v>983</v>
      </c>
      <c r="C1383" s="508" t="s">
        <v>397</v>
      </c>
      <c r="D1383" s="509">
        <v>1E-3</v>
      </c>
      <c r="E1383" s="509"/>
      <c r="F1383" s="509">
        <v>0.01</v>
      </c>
      <c r="G1383" s="509"/>
      <c r="H1383" s="509"/>
      <c r="I1383" s="509"/>
      <c r="J1383" s="508" t="s">
        <v>679</v>
      </c>
    </row>
    <row r="1384" spans="1:10" ht="21" customHeight="1">
      <c r="A1384" s="507" t="s">
        <v>931</v>
      </c>
      <c r="B1384" s="508" t="s">
        <v>984</v>
      </c>
      <c r="C1384" s="508" t="s">
        <v>397</v>
      </c>
      <c r="D1384" s="509">
        <v>1E-3</v>
      </c>
      <c r="E1384" s="509"/>
      <c r="F1384" s="509">
        <v>0.01</v>
      </c>
      <c r="G1384" s="509"/>
      <c r="H1384" s="509"/>
      <c r="I1384" s="509"/>
      <c r="J1384" s="508" t="s">
        <v>679</v>
      </c>
    </row>
    <row r="1385" spans="1:10" ht="21" customHeight="1">
      <c r="A1385" s="507" t="s">
        <v>931</v>
      </c>
      <c r="B1385" s="508" t="s">
        <v>985</v>
      </c>
      <c r="C1385" s="508" t="s">
        <v>397</v>
      </c>
      <c r="D1385" s="509">
        <v>1E-3</v>
      </c>
      <c r="E1385" s="509"/>
      <c r="F1385" s="509">
        <v>0.01</v>
      </c>
      <c r="G1385" s="509"/>
      <c r="H1385" s="509"/>
      <c r="I1385" s="509"/>
      <c r="J1385" s="508" t="s">
        <v>679</v>
      </c>
    </row>
    <row r="1386" spans="1:10" ht="21" customHeight="1">
      <c r="A1386" s="507" t="s">
        <v>931</v>
      </c>
      <c r="B1386" s="508" t="s">
        <v>986</v>
      </c>
      <c r="C1386" s="508" t="s">
        <v>397</v>
      </c>
      <c r="D1386" s="509">
        <v>1E-3</v>
      </c>
      <c r="E1386" s="509"/>
      <c r="F1386" s="509"/>
      <c r="G1386" s="509">
        <v>0.01</v>
      </c>
      <c r="H1386" s="509"/>
      <c r="I1386" s="509"/>
      <c r="J1386" s="508" t="s">
        <v>987</v>
      </c>
    </row>
    <row r="1387" spans="1:10" ht="21" customHeight="1">
      <c r="A1387" s="507" t="s">
        <v>931</v>
      </c>
      <c r="B1387" s="508" t="s">
        <v>988</v>
      </c>
      <c r="C1387" s="508" t="s">
        <v>397</v>
      </c>
      <c r="D1387" s="509">
        <v>1E-3</v>
      </c>
      <c r="E1387" s="509"/>
      <c r="F1387" s="509"/>
      <c r="G1387" s="509">
        <v>0.01</v>
      </c>
      <c r="H1387" s="509"/>
      <c r="I1387" s="509"/>
      <c r="J1387" s="508" t="s">
        <v>987</v>
      </c>
    </row>
    <row r="1388" spans="1:10" ht="21" customHeight="1">
      <c r="A1388" s="507" t="s">
        <v>931</v>
      </c>
      <c r="B1388" s="508" t="s">
        <v>989</v>
      </c>
      <c r="C1388" s="508" t="s">
        <v>397</v>
      </c>
      <c r="D1388" s="509">
        <v>1E-3</v>
      </c>
      <c r="E1388" s="509"/>
      <c r="F1388" s="509"/>
      <c r="G1388" s="509">
        <v>0.01</v>
      </c>
      <c r="H1388" s="509"/>
      <c r="I1388" s="509"/>
      <c r="J1388" s="508" t="s">
        <v>987</v>
      </c>
    </row>
    <row r="1389" spans="1:10" ht="21" customHeight="1">
      <c r="A1389" s="507" t="s">
        <v>931</v>
      </c>
      <c r="B1389" s="508" t="s">
        <v>990</v>
      </c>
      <c r="C1389" s="508" t="s">
        <v>397</v>
      </c>
      <c r="D1389" s="509">
        <v>1E-3</v>
      </c>
      <c r="E1389" s="509"/>
      <c r="F1389" s="509"/>
      <c r="G1389" s="509">
        <v>0.01</v>
      </c>
      <c r="H1389" s="509"/>
      <c r="I1389" s="509"/>
      <c r="J1389" s="508" t="s">
        <v>987</v>
      </c>
    </row>
    <row r="1390" spans="1:10" ht="21" customHeight="1">
      <c r="A1390" s="507" t="s">
        <v>931</v>
      </c>
      <c r="B1390" s="508" t="s">
        <v>991</v>
      </c>
      <c r="C1390" s="508" t="s">
        <v>397</v>
      </c>
      <c r="D1390" s="509">
        <v>1E-3</v>
      </c>
      <c r="E1390" s="509"/>
      <c r="F1390" s="509"/>
      <c r="G1390" s="509">
        <v>0.01</v>
      </c>
      <c r="H1390" s="509"/>
      <c r="I1390" s="509"/>
      <c r="J1390" s="508" t="s">
        <v>987</v>
      </c>
    </row>
    <row r="1391" spans="1:10" ht="21" customHeight="1">
      <c r="A1391" s="507" t="s">
        <v>931</v>
      </c>
      <c r="B1391" s="508" t="s">
        <v>992</v>
      </c>
      <c r="C1391" s="508" t="s">
        <v>397</v>
      </c>
      <c r="D1391" s="509">
        <v>1E-3</v>
      </c>
      <c r="E1391" s="509"/>
      <c r="F1391" s="509"/>
      <c r="G1391" s="509">
        <v>0.01</v>
      </c>
      <c r="H1391" s="509"/>
      <c r="I1391" s="509"/>
      <c r="J1391" s="508" t="s">
        <v>987</v>
      </c>
    </row>
    <row r="1392" spans="1:10" ht="21" customHeight="1">
      <c r="A1392" s="507" t="s">
        <v>931</v>
      </c>
      <c r="B1392" s="508" t="s">
        <v>440</v>
      </c>
      <c r="C1392" s="508" t="s">
        <v>397</v>
      </c>
      <c r="D1392" s="509"/>
      <c r="E1392" s="509"/>
      <c r="F1392" s="509"/>
      <c r="G1392" s="509">
        <v>0</v>
      </c>
      <c r="H1392" s="509"/>
      <c r="I1392" s="509"/>
      <c r="J1392" s="508" t="s">
        <v>987</v>
      </c>
    </row>
    <row r="1393" spans="1:10" ht="21" customHeight="1">
      <c r="A1393" s="507" t="s">
        <v>931</v>
      </c>
      <c r="B1393" s="508" t="s">
        <v>442</v>
      </c>
      <c r="C1393" s="508" t="s">
        <v>397</v>
      </c>
      <c r="D1393" s="509"/>
      <c r="E1393" s="509"/>
      <c r="F1393" s="509"/>
      <c r="G1393" s="509">
        <v>0</v>
      </c>
      <c r="H1393" s="509"/>
      <c r="I1393" s="509"/>
      <c r="J1393" s="508" t="s">
        <v>987</v>
      </c>
    </row>
    <row r="1394" spans="1:10" ht="21" customHeight="1">
      <c r="A1394" s="507" t="s">
        <v>931</v>
      </c>
      <c r="B1394" s="508" t="s">
        <v>446</v>
      </c>
      <c r="C1394" s="508" t="s">
        <v>397</v>
      </c>
      <c r="D1394" s="509"/>
      <c r="E1394" s="509"/>
      <c r="F1394" s="509"/>
      <c r="G1394" s="509">
        <v>77992</v>
      </c>
      <c r="H1394" s="509"/>
      <c r="I1394" s="509"/>
      <c r="J1394" s="508" t="s">
        <v>987</v>
      </c>
    </row>
    <row r="1395" spans="1:10" ht="21" customHeight="1">
      <c r="A1395" s="507" t="s">
        <v>931</v>
      </c>
      <c r="B1395" s="508" t="s">
        <v>447</v>
      </c>
      <c r="C1395" s="508" t="s">
        <v>397</v>
      </c>
      <c r="D1395" s="509"/>
      <c r="E1395" s="509"/>
      <c r="F1395" s="509"/>
      <c r="G1395" s="509">
        <v>82045</v>
      </c>
      <c r="H1395" s="509"/>
      <c r="I1395" s="509"/>
      <c r="J1395" s="508" t="s">
        <v>987</v>
      </c>
    </row>
    <row r="1396" spans="1:10" ht="21" customHeight="1">
      <c r="A1396" s="507" t="s">
        <v>931</v>
      </c>
      <c r="B1396" s="508" t="s">
        <v>686</v>
      </c>
      <c r="C1396" s="508" t="s">
        <v>397</v>
      </c>
      <c r="D1396" s="509"/>
      <c r="E1396" s="509"/>
      <c r="F1396" s="509"/>
      <c r="G1396" s="509">
        <v>0</v>
      </c>
      <c r="H1396" s="509"/>
      <c r="I1396" s="509"/>
      <c r="J1396" s="508" t="s">
        <v>987</v>
      </c>
    </row>
    <row r="1397" spans="1:10" ht="21" customHeight="1">
      <c r="A1397" s="507" t="s">
        <v>931</v>
      </c>
      <c r="B1397" s="508" t="s">
        <v>687</v>
      </c>
      <c r="C1397" s="508" t="s">
        <v>397</v>
      </c>
      <c r="D1397" s="509"/>
      <c r="E1397" s="509"/>
      <c r="F1397" s="509"/>
      <c r="G1397" s="509">
        <v>0</v>
      </c>
      <c r="H1397" s="509"/>
      <c r="I1397" s="509"/>
      <c r="J1397" s="508" t="s">
        <v>987</v>
      </c>
    </row>
    <row r="1398" spans="1:10" ht="21" customHeight="1">
      <c r="A1398" s="507" t="s">
        <v>931</v>
      </c>
      <c r="B1398" s="508" t="s">
        <v>993</v>
      </c>
      <c r="C1398" s="508" t="s">
        <v>397</v>
      </c>
      <c r="D1398" s="509"/>
      <c r="E1398" s="509"/>
      <c r="F1398" s="509"/>
      <c r="G1398" s="509">
        <v>0</v>
      </c>
      <c r="H1398" s="509"/>
      <c r="I1398" s="509"/>
      <c r="J1398" s="508" t="s">
        <v>987</v>
      </c>
    </row>
    <row r="1399" spans="1:10" ht="21" customHeight="1">
      <c r="A1399" s="507" t="s">
        <v>931</v>
      </c>
      <c r="B1399" s="508" t="s">
        <v>994</v>
      </c>
      <c r="C1399" s="508" t="s">
        <v>397</v>
      </c>
      <c r="D1399" s="509"/>
      <c r="E1399" s="509"/>
      <c r="F1399" s="509"/>
      <c r="G1399" s="509">
        <v>148736</v>
      </c>
      <c r="H1399" s="509"/>
      <c r="I1399" s="509"/>
      <c r="J1399" s="508" t="s">
        <v>987</v>
      </c>
    </row>
    <row r="1400" spans="1:10" ht="21" customHeight="1">
      <c r="A1400" s="507" t="s">
        <v>931</v>
      </c>
      <c r="B1400" s="508" t="s">
        <v>995</v>
      </c>
      <c r="C1400" s="508" t="s">
        <v>397</v>
      </c>
      <c r="D1400" s="509">
        <v>1E-3</v>
      </c>
      <c r="E1400" s="509"/>
      <c r="F1400" s="509"/>
      <c r="G1400" s="509">
        <v>0.01</v>
      </c>
      <c r="H1400" s="509"/>
      <c r="I1400" s="509"/>
      <c r="J1400" s="508" t="s">
        <v>987</v>
      </c>
    </row>
    <row r="1401" spans="1:10" ht="21" customHeight="1">
      <c r="A1401" s="507" t="s">
        <v>931</v>
      </c>
      <c r="B1401" s="508" t="s">
        <v>996</v>
      </c>
      <c r="C1401" s="508" t="s">
        <v>397</v>
      </c>
      <c r="D1401" s="509">
        <v>1E-3</v>
      </c>
      <c r="E1401" s="509"/>
      <c r="F1401" s="509"/>
      <c r="G1401" s="509">
        <v>0.01</v>
      </c>
      <c r="H1401" s="509"/>
      <c r="I1401" s="509"/>
      <c r="J1401" s="508" t="s">
        <v>987</v>
      </c>
    </row>
    <row r="1402" spans="1:10" ht="21" customHeight="1">
      <c r="A1402" s="507" t="s">
        <v>931</v>
      </c>
      <c r="B1402" s="508" t="s">
        <v>997</v>
      </c>
      <c r="C1402" s="508" t="s">
        <v>397</v>
      </c>
      <c r="D1402" s="509">
        <v>1E-3</v>
      </c>
      <c r="E1402" s="509"/>
      <c r="F1402" s="509"/>
      <c r="G1402" s="509">
        <v>0.01</v>
      </c>
      <c r="H1402" s="509"/>
      <c r="I1402" s="509"/>
      <c r="J1402" s="508" t="s">
        <v>987</v>
      </c>
    </row>
    <row r="1403" spans="1:10" ht="21" customHeight="1">
      <c r="A1403" s="507" t="s">
        <v>931</v>
      </c>
      <c r="B1403" s="508" t="s">
        <v>998</v>
      </c>
      <c r="C1403" s="508" t="s">
        <v>397</v>
      </c>
      <c r="D1403" s="509">
        <v>1E-3</v>
      </c>
      <c r="E1403" s="509"/>
      <c r="F1403" s="509"/>
      <c r="G1403" s="509">
        <v>0.01</v>
      </c>
      <c r="H1403" s="509"/>
      <c r="I1403" s="509"/>
      <c r="J1403" s="508" t="s">
        <v>987</v>
      </c>
    </row>
    <row r="1404" spans="1:10" ht="21" customHeight="1">
      <c r="A1404" s="507" t="s">
        <v>931</v>
      </c>
      <c r="B1404" s="508" t="s">
        <v>999</v>
      </c>
      <c r="C1404" s="508" t="s">
        <v>397</v>
      </c>
      <c r="D1404" s="509">
        <v>1E-3</v>
      </c>
      <c r="E1404" s="509"/>
      <c r="F1404" s="509"/>
      <c r="G1404" s="509">
        <v>0.01</v>
      </c>
      <c r="H1404" s="509"/>
      <c r="I1404" s="509"/>
      <c r="J1404" s="508" t="s">
        <v>987</v>
      </c>
    </row>
    <row r="1405" spans="1:10" ht="21" customHeight="1">
      <c r="A1405" s="507" t="s">
        <v>931</v>
      </c>
      <c r="B1405" s="508" t="s">
        <v>1000</v>
      </c>
      <c r="C1405" s="508" t="s">
        <v>397</v>
      </c>
      <c r="D1405" s="509">
        <v>1E-3</v>
      </c>
      <c r="E1405" s="509"/>
      <c r="F1405" s="509"/>
      <c r="G1405" s="509">
        <v>0.01</v>
      </c>
      <c r="H1405" s="509"/>
      <c r="I1405" s="509"/>
      <c r="J1405" s="508" t="s">
        <v>987</v>
      </c>
    </row>
    <row r="1406" spans="1:10" ht="21" customHeight="1">
      <c r="A1406" s="507" t="s">
        <v>931</v>
      </c>
      <c r="B1406" s="508" t="s">
        <v>1001</v>
      </c>
      <c r="C1406" s="508" t="s">
        <v>397</v>
      </c>
      <c r="D1406" s="509">
        <v>1E-3</v>
      </c>
      <c r="E1406" s="509"/>
      <c r="F1406" s="509"/>
      <c r="G1406" s="509"/>
      <c r="H1406" s="509">
        <v>0.01</v>
      </c>
      <c r="I1406" s="509"/>
      <c r="J1406" s="508" t="s">
        <v>1002</v>
      </c>
    </row>
    <row r="1407" spans="1:10" ht="21" customHeight="1">
      <c r="A1407" s="507" t="s">
        <v>931</v>
      </c>
      <c r="B1407" s="508" t="s">
        <v>1003</v>
      </c>
      <c r="C1407" s="508" t="s">
        <v>397</v>
      </c>
      <c r="D1407" s="509">
        <v>1E-3</v>
      </c>
      <c r="E1407" s="509"/>
      <c r="F1407" s="509"/>
      <c r="G1407" s="509"/>
      <c r="H1407" s="509">
        <v>0.01</v>
      </c>
      <c r="I1407" s="509"/>
      <c r="J1407" s="508" t="s">
        <v>1002</v>
      </c>
    </row>
    <row r="1408" spans="1:10" ht="21" customHeight="1">
      <c r="A1408" s="507" t="s">
        <v>931</v>
      </c>
      <c r="B1408" s="508" t="s">
        <v>1004</v>
      </c>
      <c r="C1408" s="508" t="s">
        <v>397</v>
      </c>
      <c r="D1408" s="509">
        <v>1E-3</v>
      </c>
      <c r="E1408" s="509"/>
      <c r="F1408" s="509"/>
      <c r="G1408" s="509"/>
      <c r="H1408" s="509">
        <v>0.01</v>
      </c>
      <c r="I1408" s="509"/>
      <c r="J1408" s="508" t="s">
        <v>1002</v>
      </c>
    </row>
    <row r="1409" spans="1:10" ht="21" customHeight="1">
      <c r="A1409" s="507" t="s">
        <v>931</v>
      </c>
      <c r="B1409" s="508" t="s">
        <v>1005</v>
      </c>
      <c r="C1409" s="508" t="s">
        <v>397</v>
      </c>
      <c r="D1409" s="509">
        <v>1E-3</v>
      </c>
      <c r="E1409" s="509"/>
      <c r="F1409" s="509"/>
      <c r="G1409" s="509"/>
      <c r="H1409" s="509">
        <v>0.01</v>
      </c>
      <c r="I1409" s="509"/>
      <c r="J1409" s="508" t="s">
        <v>1002</v>
      </c>
    </row>
    <row r="1410" spans="1:10" ht="21" customHeight="1">
      <c r="A1410" s="507" t="s">
        <v>931</v>
      </c>
      <c r="B1410" s="508" t="s">
        <v>1006</v>
      </c>
      <c r="C1410" s="508" t="s">
        <v>397</v>
      </c>
      <c r="D1410" s="509">
        <v>1E-3</v>
      </c>
      <c r="E1410" s="509"/>
      <c r="F1410" s="509"/>
      <c r="G1410" s="509"/>
      <c r="H1410" s="509">
        <v>0.01</v>
      </c>
      <c r="I1410" s="509"/>
      <c r="J1410" s="508" t="s">
        <v>1002</v>
      </c>
    </row>
    <row r="1411" spans="1:10" ht="21" customHeight="1">
      <c r="A1411" s="507" t="s">
        <v>931</v>
      </c>
      <c r="B1411" s="508" t="s">
        <v>1007</v>
      </c>
      <c r="C1411" s="508" t="s">
        <v>397</v>
      </c>
      <c r="D1411" s="509">
        <v>1E-3</v>
      </c>
      <c r="E1411" s="509"/>
      <c r="F1411" s="509"/>
      <c r="G1411" s="509"/>
      <c r="H1411" s="509">
        <v>0.01</v>
      </c>
      <c r="I1411" s="509"/>
      <c r="J1411" s="508" t="s">
        <v>1002</v>
      </c>
    </row>
    <row r="1412" spans="1:10" ht="21" customHeight="1">
      <c r="A1412" s="507" t="s">
        <v>931</v>
      </c>
      <c r="B1412" s="508" t="s">
        <v>450</v>
      </c>
      <c r="C1412" s="508" t="s">
        <v>397</v>
      </c>
      <c r="D1412" s="509"/>
      <c r="E1412" s="509"/>
      <c r="F1412" s="509"/>
      <c r="G1412" s="509"/>
      <c r="H1412" s="509">
        <v>0</v>
      </c>
      <c r="I1412" s="509"/>
      <c r="J1412" s="508" t="s">
        <v>1002</v>
      </c>
    </row>
    <row r="1413" spans="1:10" ht="21" customHeight="1">
      <c r="A1413" s="507" t="s">
        <v>931</v>
      </c>
      <c r="B1413" s="508" t="s">
        <v>452</v>
      </c>
      <c r="C1413" s="508" t="s">
        <v>397</v>
      </c>
      <c r="D1413" s="509"/>
      <c r="E1413" s="509"/>
      <c r="F1413" s="509"/>
      <c r="G1413" s="509"/>
      <c r="H1413" s="509">
        <v>0</v>
      </c>
      <c r="I1413" s="509"/>
      <c r="J1413" s="508" t="s">
        <v>1002</v>
      </c>
    </row>
    <row r="1414" spans="1:10" ht="21" customHeight="1">
      <c r="A1414" s="507" t="s">
        <v>931</v>
      </c>
      <c r="B1414" s="508" t="s">
        <v>455</v>
      </c>
      <c r="C1414" s="508" t="s">
        <v>397</v>
      </c>
      <c r="D1414" s="509"/>
      <c r="E1414" s="509"/>
      <c r="F1414" s="509"/>
      <c r="G1414" s="509"/>
      <c r="H1414" s="509">
        <v>203019</v>
      </c>
      <c r="I1414" s="509"/>
      <c r="J1414" s="508" t="s">
        <v>1002</v>
      </c>
    </row>
    <row r="1415" spans="1:10" ht="21" customHeight="1">
      <c r="A1415" s="507" t="s">
        <v>931</v>
      </c>
      <c r="B1415" s="508" t="s">
        <v>456</v>
      </c>
      <c r="C1415" s="508" t="s">
        <v>397</v>
      </c>
      <c r="D1415" s="509"/>
      <c r="E1415" s="509"/>
      <c r="F1415" s="509"/>
      <c r="G1415" s="509"/>
      <c r="H1415" s="509">
        <v>182964</v>
      </c>
      <c r="I1415" s="509"/>
      <c r="J1415" s="508" t="s">
        <v>1002</v>
      </c>
    </row>
    <row r="1416" spans="1:10" ht="21" customHeight="1">
      <c r="A1416" s="507" t="s">
        <v>931</v>
      </c>
      <c r="B1416" s="508" t="s">
        <v>690</v>
      </c>
      <c r="C1416" s="508" t="s">
        <v>397</v>
      </c>
      <c r="D1416" s="509"/>
      <c r="E1416" s="509"/>
      <c r="F1416" s="509"/>
      <c r="G1416" s="509"/>
      <c r="H1416" s="509">
        <v>0</v>
      </c>
      <c r="I1416" s="509"/>
      <c r="J1416" s="508" t="s">
        <v>1002</v>
      </c>
    </row>
    <row r="1417" spans="1:10" ht="21" customHeight="1">
      <c r="A1417" s="507" t="s">
        <v>931</v>
      </c>
      <c r="B1417" s="508" t="s">
        <v>691</v>
      </c>
      <c r="C1417" s="508" t="s">
        <v>397</v>
      </c>
      <c r="D1417" s="509"/>
      <c r="E1417" s="509"/>
      <c r="F1417" s="509"/>
      <c r="G1417" s="509"/>
      <c r="H1417" s="509">
        <v>0</v>
      </c>
      <c r="I1417" s="509"/>
      <c r="J1417" s="508" t="s">
        <v>1002</v>
      </c>
    </row>
    <row r="1418" spans="1:10" ht="21" customHeight="1">
      <c r="A1418" s="507" t="s">
        <v>931</v>
      </c>
      <c r="B1418" s="508" t="s">
        <v>1008</v>
      </c>
      <c r="C1418" s="508" t="s">
        <v>397</v>
      </c>
      <c r="D1418" s="509"/>
      <c r="E1418" s="509"/>
      <c r="F1418" s="509"/>
      <c r="G1418" s="509"/>
      <c r="H1418" s="509">
        <v>0</v>
      </c>
      <c r="I1418" s="509"/>
      <c r="J1418" s="508" t="s">
        <v>1002</v>
      </c>
    </row>
    <row r="1419" spans="1:10" ht="21" customHeight="1">
      <c r="A1419" s="507" t="s">
        <v>931</v>
      </c>
      <c r="B1419" s="508" t="s">
        <v>1009</v>
      </c>
      <c r="C1419" s="508" t="s">
        <v>397</v>
      </c>
      <c r="D1419" s="509"/>
      <c r="E1419" s="509"/>
      <c r="F1419" s="509"/>
      <c r="G1419" s="509"/>
      <c r="H1419" s="509">
        <v>173236</v>
      </c>
      <c r="I1419" s="509"/>
      <c r="J1419" s="508" t="s">
        <v>1002</v>
      </c>
    </row>
    <row r="1420" spans="1:10" ht="21" customHeight="1">
      <c r="A1420" s="507" t="s">
        <v>931</v>
      </c>
      <c r="B1420" s="508" t="s">
        <v>1010</v>
      </c>
      <c r="C1420" s="508" t="s">
        <v>397</v>
      </c>
      <c r="D1420" s="509">
        <v>1E-3</v>
      </c>
      <c r="E1420" s="509"/>
      <c r="F1420" s="509"/>
      <c r="G1420" s="509"/>
      <c r="H1420" s="509">
        <v>0.01</v>
      </c>
      <c r="I1420" s="509"/>
      <c r="J1420" s="508" t="s">
        <v>1002</v>
      </c>
    </row>
    <row r="1421" spans="1:10" ht="21" customHeight="1">
      <c r="A1421" s="507" t="s">
        <v>931</v>
      </c>
      <c r="B1421" s="508" t="s">
        <v>1011</v>
      </c>
      <c r="C1421" s="508" t="s">
        <v>397</v>
      </c>
      <c r="D1421" s="509">
        <v>1E-3</v>
      </c>
      <c r="E1421" s="509"/>
      <c r="F1421" s="509"/>
      <c r="G1421" s="509"/>
      <c r="H1421" s="509">
        <v>0.01</v>
      </c>
      <c r="I1421" s="509"/>
      <c r="J1421" s="508" t="s">
        <v>1002</v>
      </c>
    </row>
    <row r="1422" spans="1:10" ht="21" customHeight="1">
      <c r="A1422" s="507" t="s">
        <v>931</v>
      </c>
      <c r="B1422" s="508" t="s">
        <v>1012</v>
      </c>
      <c r="C1422" s="508" t="s">
        <v>397</v>
      </c>
      <c r="D1422" s="509">
        <v>1E-3</v>
      </c>
      <c r="E1422" s="509"/>
      <c r="F1422" s="509"/>
      <c r="G1422" s="509"/>
      <c r="H1422" s="509">
        <v>0.01</v>
      </c>
      <c r="I1422" s="509"/>
      <c r="J1422" s="508" t="s">
        <v>1002</v>
      </c>
    </row>
    <row r="1423" spans="1:10" ht="21" customHeight="1">
      <c r="A1423" s="507" t="s">
        <v>931</v>
      </c>
      <c r="B1423" s="508" t="s">
        <v>1013</v>
      </c>
      <c r="C1423" s="508" t="s">
        <v>397</v>
      </c>
      <c r="D1423" s="509">
        <v>1E-3</v>
      </c>
      <c r="E1423" s="509"/>
      <c r="F1423" s="509"/>
      <c r="G1423" s="509"/>
      <c r="H1423" s="509">
        <v>0.01</v>
      </c>
      <c r="I1423" s="509"/>
      <c r="J1423" s="508" t="s">
        <v>1002</v>
      </c>
    </row>
    <row r="1424" spans="1:10" ht="21" customHeight="1">
      <c r="A1424" s="507" t="s">
        <v>931</v>
      </c>
      <c r="B1424" s="508" t="s">
        <v>1014</v>
      </c>
      <c r="C1424" s="508" t="s">
        <v>397</v>
      </c>
      <c r="D1424" s="509">
        <v>1E-3</v>
      </c>
      <c r="E1424" s="509"/>
      <c r="F1424" s="509"/>
      <c r="G1424" s="509"/>
      <c r="H1424" s="509">
        <v>0.01</v>
      </c>
      <c r="I1424" s="509"/>
      <c r="J1424" s="508" t="s">
        <v>1002</v>
      </c>
    </row>
    <row r="1425" spans="1:10" ht="21" customHeight="1">
      <c r="A1425" s="507" t="s">
        <v>931</v>
      </c>
      <c r="B1425" s="508" t="s">
        <v>1015</v>
      </c>
      <c r="C1425" s="508" t="s">
        <v>397</v>
      </c>
      <c r="D1425" s="509">
        <v>1E-3</v>
      </c>
      <c r="E1425" s="509"/>
      <c r="F1425" s="509"/>
      <c r="G1425" s="509"/>
      <c r="H1425" s="509">
        <v>0.01</v>
      </c>
      <c r="I1425" s="509"/>
      <c r="J1425" s="508" t="s">
        <v>1002</v>
      </c>
    </row>
    <row r="1426" spans="1:10" ht="21" customHeight="1">
      <c r="A1426" s="507" t="s">
        <v>931</v>
      </c>
      <c r="B1426" s="508" t="s">
        <v>1016</v>
      </c>
      <c r="C1426" s="508" t="s">
        <v>397</v>
      </c>
      <c r="D1426" s="509">
        <v>1E-3</v>
      </c>
      <c r="E1426" s="509"/>
      <c r="F1426" s="509"/>
      <c r="G1426" s="509"/>
      <c r="H1426" s="509"/>
      <c r="I1426" s="509">
        <f>Turbinas!AA11</f>
        <v>0.01</v>
      </c>
      <c r="J1426" s="508" t="s">
        <v>1017</v>
      </c>
    </row>
    <row r="1427" spans="1:10" ht="21" customHeight="1">
      <c r="A1427" s="507" t="s">
        <v>931</v>
      </c>
      <c r="B1427" s="508" t="s">
        <v>1018</v>
      </c>
      <c r="C1427" s="508" t="s">
        <v>397</v>
      </c>
      <c r="D1427" s="509">
        <v>1E-3</v>
      </c>
      <c r="E1427" s="509"/>
      <c r="F1427" s="509"/>
      <c r="G1427" s="509"/>
      <c r="H1427" s="509"/>
      <c r="I1427" s="509">
        <f>Turbinas!AB11</f>
        <v>0.01</v>
      </c>
      <c r="J1427" s="508" t="s">
        <v>1017</v>
      </c>
    </row>
    <row r="1428" spans="1:10" ht="21" customHeight="1">
      <c r="A1428" s="507" t="s">
        <v>931</v>
      </c>
      <c r="B1428" s="508" t="s">
        <v>1019</v>
      </c>
      <c r="C1428" s="508" t="s">
        <v>397</v>
      </c>
      <c r="D1428" s="509">
        <v>1E-3</v>
      </c>
      <c r="E1428" s="509"/>
      <c r="F1428" s="509"/>
      <c r="G1428" s="509"/>
      <c r="H1428" s="509"/>
      <c r="I1428" s="509">
        <f>Turbinas!AC11</f>
        <v>0.01</v>
      </c>
      <c r="J1428" s="508" t="s">
        <v>1017</v>
      </c>
    </row>
    <row r="1429" spans="1:10" ht="21" customHeight="1">
      <c r="A1429" s="507" t="s">
        <v>931</v>
      </c>
      <c r="B1429" s="508" t="s">
        <v>1020</v>
      </c>
      <c r="C1429" s="508" t="s">
        <v>397</v>
      </c>
      <c r="D1429" s="509">
        <v>1E-3</v>
      </c>
      <c r="E1429" s="509"/>
      <c r="F1429" s="509"/>
      <c r="G1429" s="509"/>
      <c r="H1429" s="509"/>
      <c r="I1429" s="509">
        <f>Turbinas!AD11</f>
        <v>0.01</v>
      </c>
      <c r="J1429" s="508" t="s">
        <v>1017</v>
      </c>
    </row>
    <row r="1430" spans="1:10" ht="21" customHeight="1">
      <c r="A1430" s="507" t="s">
        <v>931</v>
      </c>
      <c r="B1430" s="508" t="s">
        <v>1021</v>
      </c>
      <c r="C1430" s="508" t="s">
        <v>397</v>
      </c>
      <c r="D1430" s="509">
        <v>1E-3</v>
      </c>
      <c r="E1430" s="509"/>
      <c r="F1430" s="509"/>
      <c r="G1430" s="509"/>
      <c r="H1430" s="509"/>
      <c r="I1430" s="509">
        <f>Turbinas!AE11</f>
        <v>0.01</v>
      </c>
      <c r="J1430" s="508" t="s">
        <v>1017</v>
      </c>
    </row>
    <row r="1431" spans="1:10" ht="21" customHeight="1">
      <c r="A1431" s="507" t="s">
        <v>931</v>
      </c>
      <c r="B1431" s="508" t="s">
        <v>1022</v>
      </c>
      <c r="C1431" s="508" t="s">
        <v>397</v>
      </c>
      <c r="D1431" s="509">
        <v>1E-3</v>
      </c>
      <c r="E1431" s="509"/>
      <c r="F1431" s="509"/>
      <c r="G1431" s="509"/>
      <c r="H1431" s="509"/>
      <c r="I1431" s="509">
        <f>Turbinas!AF11</f>
        <v>0.01</v>
      </c>
      <c r="J1431" s="508" t="s">
        <v>1017</v>
      </c>
    </row>
    <row r="1432" spans="1:10" ht="21" customHeight="1">
      <c r="A1432" s="507" t="s">
        <v>931</v>
      </c>
      <c r="B1432" s="508" t="s">
        <v>459</v>
      </c>
      <c r="C1432" s="508" t="s">
        <v>397</v>
      </c>
      <c r="D1432" s="509"/>
      <c r="E1432" s="509"/>
      <c r="F1432" s="509"/>
      <c r="G1432" s="509"/>
      <c r="H1432" s="509"/>
      <c r="I1432" s="509">
        <f>Turbinas!B11</f>
        <v>0</v>
      </c>
      <c r="J1432" s="508" t="s">
        <v>1017</v>
      </c>
    </row>
    <row r="1433" spans="1:10" ht="21" customHeight="1">
      <c r="A1433" s="507" t="s">
        <v>931</v>
      </c>
      <c r="B1433" s="508" t="s">
        <v>461</v>
      </c>
      <c r="C1433" s="508" t="s">
        <v>397</v>
      </c>
      <c r="D1433" s="509"/>
      <c r="E1433" s="509"/>
      <c r="F1433" s="509"/>
      <c r="G1433" s="509"/>
      <c r="H1433" s="509"/>
      <c r="I1433" s="509">
        <f>Turbinas!C11</f>
        <v>0</v>
      </c>
      <c r="J1433" s="508" t="s">
        <v>1017</v>
      </c>
    </row>
    <row r="1434" spans="1:10" ht="21" customHeight="1">
      <c r="A1434" s="507" t="s">
        <v>931</v>
      </c>
      <c r="B1434" s="508" t="s">
        <v>462</v>
      </c>
      <c r="C1434" s="508" t="s">
        <v>397</v>
      </c>
      <c r="D1434" s="509"/>
      <c r="E1434" s="509"/>
      <c r="F1434" s="509"/>
      <c r="G1434" s="509"/>
      <c r="H1434" s="509"/>
      <c r="I1434" s="509">
        <f>Turbinas!F11</f>
        <v>281291</v>
      </c>
      <c r="J1434" s="508" t="s">
        <v>1017</v>
      </c>
    </row>
    <row r="1435" spans="1:10" ht="21" customHeight="1">
      <c r="A1435" s="507" t="s">
        <v>931</v>
      </c>
      <c r="B1435" s="508" t="s">
        <v>463</v>
      </c>
      <c r="C1435" s="508" t="s">
        <v>397</v>
      </c>
      <c r="D1435" s="509"/>
      <c r="E1435" s="509"/>
      <c r="F1435" s="509"/>
      <c r="G1435" s="509"/>
      <c r="H1435" s="509"/>
      <c r="I1435" s="509">
        <f>Turbinas!G11</f>
        <v>210170</v>
      </c>
      <c r="J1435" s="508" t="s">
        <v>1017</v>
      </c>
    </row>
    <row r="1436" spans="1:10" ht="21" customHeight="1">
      <c r="A1436" s="507" t="s">
        <v>931</v>
      </c>
      <c r="B1436" s="508" t="s">
        <v>1023</v>
      </c>
      <c r="C1436" s="508" t="s">
        <v>397</v>
      </c>
      <c r="D1436" s="509"/>
      <c r="E1436" s="509"/>
      <c r="F1436" s="509"/>
      <c r="G1436" s="509"/>
      <c r="H1436" s="509"/>
      <c r="I1436" s="509">
        <f>Turbinas!J11</f>
        <v>0</v>
      </c>
      <c r="J1436" s="508" t="s">
        <v>1017</v>
      </c>
    </row>
    <row r="1437" spans="1:10" ht="21" customHeight="1">
      <c r="A1437" s="507" t="s">
        <v>931</v>
      </c>
      <c r="B1437" s="508" t="s">
        <v>1024</v>
      </c>
      <c r="C1437" s="508" t="s">
        <v>397</v>
      </c>
      <c r="D1437" s="509"/>
      <c r="E1437" s="509"/>
      <c r="F1437" s="509"/>
      <c r="G1437" s="509"/>
      <c r="H1437" s="509"/>
      <c r="I1437" s="509">
        <f>Turbinas!K11</f>
        <v>0</v>
      </c>
      <c r="J1437" s="508" t="s">
        <v>1017</v>
      </c>
    </row>
    <row r="1438" spans="1:10" ht="21" customHeight="1">
      <c r="A1438" s="507" t="s">
        <v>931</v>
      </c>
      <c r="B1438" s="508" t="s">
        <v>1025</v>
      </c>
      <c r="C1438" s="508" t="s">
        <v>397</v>
      </c>
      <c r="D1438" s="509"/>
      <c r="E1438" s="509"/>
      <c r="F1438" s="509"/>
      <c r="G1438" s="509"/>
      <c r="H1438" s="509"/>
      <c r="I1438" s="509">
        <f>Turbinas!N11</f>
        <v>0</v>
      </c>
      <c r="J1438" s="508" t="s">
        <v>1017</v>
      </c>
    </row>
    <row r="1439" spans="1:10" ht="21" customHeight="1">
      <c r="A1439" s="507" t="s">
        <v>931</v>
      </c>
      <c r="B1439" s="508" t="s">
        <v>1026</v>
      </c>
      <c r="C1439" s="508" t="s">
        <v>397</v>
      </c>
      <c r="D1439" s="509"/>
      <c r="E1439" s="509"/>
      <c r="F1439" s="509"/>
      <c r="G1439" s="509"/>
      <c r="H1439" s="509"/>
      <c r="I1439" s="509">
        <f>Turbinas!O11</f>
        <v>344374</v>
      </c>
      <c r="J1439" s="508" t="s">
        <v>1017</v>
      </c>
    </row>
    <row r="1440" spans="1:10" ht="21" customHeight="1">
      <c r="A1440" s="507" t="s">
        <v>931</v>
      </c>
      <c r="B1440" s="508" t="s">
        <v>1027</v>
      </c>
      <c r="C1440" s="508" t="s">
        <v>397</v>
      </c>
      <c r="D1440" s="509">
        <v>1E-3</v>
      </c>
      <c r="E1440" s="509"/>
      <c r="F1440" s="509"/>
      <c r="G1440" s="509"/>
      <c r="H1440" s="509"/>
      <c r="I1440" s="509">
        <f>Turbinas!U11</f>
        <v>0.01</v>
      </c>
      <c r="J1440" s="508" t="s">
        <v>1017</v>
      </c>
    </row>
    <row r="1441" spans="1:10" ht="21" customHeight="1">
      <c r="A1441" s="507" t="s">
        <v>931</v>
      </c>
      <c r="B1441" s="508" t="s">
        <v>1028</v>
      </c>
      <c r="C1441" s="508" t="s">
        <v>397</v>
      </c>
      <c r="D1441" s="509">
        <v>1E-3</v>
      </c>
      <c r="E1441" s="509"/>
      <c r="F1441" s="509"/>
      <c r="G1441" s="509"/>
      <c r="H1441" s="509"/>
      <c r="I1441" s="509">
        <f>Turbinas!V11</f>
        <v>0.01</v>
      </c>
      <c r="J1441" s="508" t="s">
        <v>1017</v>
      </c>
    </row>
    <row r="1442" spans="1:10" ht="21" customHeight="1">
      <c r="A1442" s="507" t="s">
        <v>931</v>
      </c>
      <c r="B1442" s="508" t="s">
        <v>594</v>
      </c>
      <c r="C1442" s="508" t="s">
        <v>397</v>
      </c>
      <c r="D1442" s="509">
        <v>1E-3</v>
      </c>
      <c r="E1442" s="509"/>
      <c r="F1442" s="509"/>
      <c r="G1442" s="509"/>
      <c r="H1442" s="509"/>
      <c r="I1442" s="509">
        <f>Turbinas!W11</f>
        <v>0.01</v>
      </c>
      <c r="J1442" s="508" t="s">
        <v>1017</v>
      </c>
    </row>
    <row r="1443" spans="1:10" ht="21" customHeight="1">
      <c r="A1443" s="507" t="s">
        <v>931</v>
      </c>
      <c r="B1443" s="508" t="s">
        <v>1029</v>
      </c>
      <c r="C1443" s="508" t="s">
        <v>397</v>
      </c>
      <c r="D1443" s="509">
        <v>1E-3</v>
      </c>
      <c r="E1443" s="509"/>
      <c r="F1443" s="509"/>
      <c r="G1443" s="509"/>
      <c r="H1443" s="509"/>
      <c r="I1443" s="509">
        <f>Turbinas!X11</f>
        <v>0.01</v>
      </c>
      <c r="J1443" s="508" t="s">
        <v>1017</v>
      </c>
    </row>
    <row r="1444" spans="1:10" ht="21" customHeight="1">
      <c r="A1444" s="507" t="s">
        <v>931</v>
      </c>
      <c r="B1444" s="508" t="s">
        <v>1030</v>
      </c>
      <c r="C1444" s="508" t="s">
        <v>397</v>
      </c>
      <c r="D1444" s="509">
        <v>1E-3</v>
      </c>
      <c r="E1444" s="509"/>
      <c r="F1444" s="509"/>
      <c r="G1444" s="509"/>
      <c r="H1444" s="509"/>
      <c r="I1444" s="509">
        <f>Turbinas!Y11</f>
        <v>0.01</v>
      </c>
      <c r="J1444" s="508" t="s">
        <v>1017</v>
      </c>
    </row>
    <row r="1445" spans="1:10" ht="21" customHeight="1">
      <c r="A1445" s="507" t="s">
        <v>931</v>
      </c>
      <c r="B1445" s="508" t="s">
        <v>1031</v>
      </c>
      <c r="C1445" s="508" t="s">
        <v>397</v>
      </c>
      <c r="D1445" s="509">
        <v>1E-3</v>
      </c>
      <c r="E1445" s="509"/>
      <c r="F1445" s="509"/>
      <c r="G1445" s="509"/>
      <c r="H1445" s="509"/>
      <c r="I1445" s="509">
        <f>Turbinas!Z11</f>
        <v>0.01</v>
      </c>
      <c r="J1445" s="508" t="s">
        <v>1017</v>
      </c>
    </row>
    <row r="1446" spans="1:10" ht="21" customHeight="1">
      <c r="A1446" s="507" t="s">
        <v>931</v>
      </c>
      <c r="B1446" s="508" t="s">
        <v>1032</v>
      </c>
      <c r="C1446" s="508" t="s">
        <v>397</v>
      </c>
      <c r="D1446" s="509">
        <v>1E-3</v>
      </c>
      <c r="E1446" s="509"/>
      <c r="F1446" s="509"/>
      <c r="G1446" s="509"/>
      <c r="H1446" s="509"/>
      <c r="I1446" s="509"/>
      <c r="J1446" s="508" t="s">
        <v>1033</v>
      </c>
    </row>
    <row r="1447" spans="1:10" ht="21" customHeight="1">
      <c r="A1447" s="507" t="s">
        <v>931</v>
      </c>
      <c r="B1447" s="508" t="s">
        <v>1034</v>
      </c>
      <c r="C1447" s="508" t="s">
        <v>397</v>
      </c>
      <c r="D1447" s="509">
        <v>1E-3</v>
      </c>
      <c r="E1447" s="509"/>
      <c r="F1447" s="509"/>
      <c r="G1447" s="509"/>
      <c r="H1447" s="509"/>
      <c r="I1447" s="509"/>
      <c r="J1447" s="508" t="s">
        <v>1033</v>
      </c>
    </row>
    <row r="1448" spans="1:10" ht="21" customHeight="1">
      <c r="A1448" s="507" t="s">
        <v>931</v>
      </c>
      <c r="B1448" s="508" t="s">
        <v>1035</v>
      </c>
      <c r="C1448" s="508" t="s">
        <v>397</v>
      </c>
      <c r="D1448" s="509">
        <v>1E-3</v>
      </c>
      <c r="E1448" s="509"/>
      <c r="F1448" s="509"/>
      <c r="G1448" s="509"/>
      <c r="H1448" s="509"/>
      <c r="I1448" s="509"/>
      <c r="J1448" s="508" t="s">
        <v>1033</v>
      </c>
    </row>
    <row r="1449" spans="1:10" ht="21" customHeight="1">
      <c r="A1449" s="507" t="s">
        <v>931</v>
      </c>
      <c r="B1449" s="508" t="s">
        <v>1036</v>
      </c>
      <c r="C1449" s="508" t="s">
        <v>397</v>
      </c>
      <c r="D1449" s="509">
        <v>1E-3</v>
      </c>
      <c r="E1449" s="509"/>
      <c r="F1449" s="509"/>
      <c r="G1449" s="509"/>
      <c r="H1449" s="509"/>
      <c r="I1449" s="509"/>
      <c r="J1449" s="508" t="s">
        <v>1033</v>
      </c>
    </row>
    <row r="1450" spans="1:10" ht="21" customHeight="1">
      <c r="A1450" s="507" t="s">
        <v>931</v>
      </c>
      <c r="B1450" s="508" t="s">
        <v>1037</v>
      </c>
      <c r="C1450" s="508" t="s">
        <v>397</v>
      </c>
      <c r="D1450" s="509">
        <v>1E-3</v>
      </c>
      <c r="E1450" s="509"/>
      <c r="F1450" s="509"/>
      <c r="G1450" s="509"/>
      <c r="H1450" s="509"/>
      <c r="I1450" s="509"/>
      <c r="J1450" s="508" t="s">
        <v>1033</v>
      </c>
    </row>
    <row r="1451" spans="1:10" ht="21" customHeight="1">
      <c r="A1451" s="507" t="s">
        <v>931</v>
      </c>
      <c r="B1451" s="508" t="s">
        <v>1038</v>
      </c>
      <c r="C1451" s="508" t="s">
        <v>397</v>
      </c>
      <c r="D1451" s="509">
        <v>1E-3</v>
      </c>
      <c r="E1451" s="509"/>
      <c r="F1451" s="509"/>
      <c r="G1451" s="509"/>
      <c r="H1451" s="509"/>
      <c r="I1451" s="509"/>
      <c r="J1451" s="508" t="s">
        <v>1033</v>
      </c>
    </row>
    <row r="1452" spans="1:10" ht="21" customHeight="1">
      <c r="A1452" s="507" t="s">
        <v>931</v>
      </c>
      <c r="B1452" s="508" t="s">
        <v>1039</v>
      </c>
      <c r="C1452" s="508" t="s">
        <v>397</v>
      </c>
      <c r="D1452" s="509">
        <v>1E-3</v>
      </c>
      <c r="E1452" s="509"/>
      <c r="F1452" s="509"/>
      <c r="G1452" s="509"/>
      <c r="H1452" s="509"/>
      <c r="I1452" s="509"/>
      <c r="J1452" s="508" t="s">
        <v>1033</v>
      </c>
    </row>
    <row r="1453" spans="1:10" ht="21" customHeight="1">
      <c r="A1453" s="507" t="s">
        <v>931</v>
      </c>
      <c r="B1453" s="508" t="s">
        <v>825</v>
      </c>
      <c r="C1453" s="508" t="s">
        <v>397</v>
      </c>
      <c r="D1453" s="509">
        <v>1E-3</v>
      </c>
      <c r="E1453" s="509"/>
      <c r="F1453" s="509"/>
      <c r="G1453" s="509"/>
      <c r="H1453" s="509"/>
      <c r="I1453" s="509"/>
      <c r="J1453" s="508" t="s">
        <v>1033</v>
      </c>
    </row>
    <row r="1454" spans="1:10" ht="21" customHeight="1">
      <c r="A1454" s="507" t="s">
        <v>931</v>
      </c>
      <c r="B1454" s="508" t="s">
        <v>595</v>
      </c>
      <c r="C1454" s="508" t="s">
        <v>397</v>
      </c>
      <c r="D1454" s="509">
        <v>1E-3</v>
      </c>
      <c r="E1454" s="509"/>
      <c r="F1454" s="509"/>
      <c r="G1454" s="509"/>
      <c r="H1454" s="509"/>
      <c r="I1454" s="509"/>
      <c r="J1454" s="508" t="s">
        <v>1033</v>
      </c>
    </row>
    <row r="1455" spans="1:10" ht="21" customHeight="1">
      <c r="A1455" s="507" t="s">
        <v>931</v>
      </c>
      <c r="B1455" s="508" t="s">
        <v>1040</v>
      </c>
      <c r="C1455" s="508" t="s">
        <v>397</v>
      </c>
      <c r="D1455" s="509">
        <v>1E-3</v>
      </c>
      <c r="E1455" s="509"/>
      <c r="F1455" s="509"/>
      <c r="G1455" s="509"/>
      <c r="H1455" s="509"/>
      <c r="I1455" s="509"/>
      <c r="J1455" s="508" t="s">
        <v>1033</v>
      </c>
    </row>
    <row r="1456" spans="1:10" ht="21" customHeight="1">
      <c r="A1456" s="507" t="s">
        <v>931</v>
      </c>
      <c r="B1456" s="508" t="s">
        <v>1041</v>
      </c>
      <c r="C1456" s="508" t="s">
        <v>397</v>
      </c>
      <c r="D1456" s="509">
        <v>1E-3</v>
      </c>
      <c r="E1456" s="509"/>
      <c r="F1456" s="509"/>
      <c r="G1456" s="509"/>
      <c r="H1456" s="509"/>
      <c r="I1456" s="509"/>
      <c r="J1456" s="508" t="s">
        <v>1033</v>
      </c>
    </row>
    <row r="1457" spans="1:10" ht="21" customHeight="1">
      <c r="A1457" s="507" t="s">
        <v>931</v>
      </c>
      <c r="B1457" s="508" t="s">
        <v>1042</v>
      </c>
      <c r="C1457" s="508" t="s">
        <v>397</v>
      </c>
      <c r="D1457" s="509">
        <v>1E-3</v>
      </c>
      <c r="E1457" s="509"/>
      <c r="F1457" s="509"/>
      <c r="G1457" s="509"/>
      <c r="H1457" s="509"/>
      <c r="I1457" s="509"/>
      <c r="J1457" s="508" t="s">
        <v>1033</v>
      </c>
    </row>
    <row r="1458" spans="1:10" ht="21" customHeight="1">
      <c r="A1458" s="507" t="s">
        <v>931</v>
      </c>
      <c r="B1458" s="508" t="s">
        <v>1043</v>
      </c>
      <c r="C1458" s="508" t="s">
        <v>397</v>
      </c>
      <c r="D1458" s="509">
        <v>1E-3</v>
      </c>
      <c r="E1458" s="509"/>
      <c r="F1458" s="509"/>
      <c r="G1458" s="509"/>
      <c r="H1458" s="509"/>
      <c r="I1458" s="509"/>
      <c r="J1458" s="508" t="s">
        <v>1044</v>
      </c>
    </row>
    <row r="1459" spans="1:10" ht="21" customHeight="1">
      <c r="A1459" s="507" t="s">
        <v>931</v>
      </c>
      <c r="B1459" s="508" t="s">
        <v>1045</v>
      </c>
      <c r="C1459" s="508" t="s">
        <v>397</v>
      </c>
      <c r="D1459" s="509">
        <v>1E-3</v>
      </c>
      <c r="E1459" s="509"/>
      <c r="F1459" s="509"/>
      <c r="G1459" s="509"/>
      <c r="H1459" s="509"/>
      <c r="I1459" s="509"/>
      <c r="J1459" s="508" t="s">
        <v>1044</v>
      </c>
    </row>
    <row r="1460" spans="1:10" ht="21" customHeight="1">
      <c r="A1460" s="507" t="s">
        <v>931</v>
      </c>
      <c r="B1460" s="508" t="s">
        <v>1046</v>
      </c>
      <c r="C1460" s="508" t="s">
        <v>397</v>
      </c>
      <c r="D1460" s="509">
        <v>1E-3</v>
      </c>
      <c r="E1460" s="509"/>
      <c r="F1460" s="509"/>
      <c r="G1460" s="509"/>
      <c r="H1460" s="509"/>
      <c r="I1460" s="509"/>
      <c r="J1460" s="508" t="s">
        <v>1044</v>
      </c>
    </row>
    <row r="1461" spans="1:10" ht="21" customHeight="1">
      <c r="A1461" s="507" t="s">
        <v>931</v>
      </c>
      <c r="B1461" s="508" t="s">
        <v>1047</v>
      </c>
      <c r="C1461" s="508" t="s">
        <v>397</v>
      </c>
      <c r="D1461" s="509">
        <v>1E-3</v>
      </c>
      <c r="E1461" s="509"/>
      <c r="F1461" s="509"/>
      <c r="G1461" s="509"/>
      <c r="H1461" s="509"/>
      <c r="I1461" s="509"/>
      <c r="J1461" s="508" t="s">
        <v>1044</v>
      </c>
    </row>
    <row r="1462" spans="1:10" ht="21" customHeight="1">
      <c r="A1462" s="507" t="s">
        <v>931</v>
      </c>
      <c r="B1462" s="508" t="s">
        <v>1048</v>
      </c>
      <c r="C1462" s="508" t="s">
        <v>397</v>
      </c>
      <c r="D1462" s="509">
        <v>1E-3</v>
      </c>
      <c r="E1462" s="509"/>
      <c r="F1462" s="509"/>
      <c r="G1462" s="509"/>
      <c r="H1462" s="509"/>
      <c r="I1462" s="509"/>
      <c r="J1462" s="508" t="s">
        <v>1044</v>
      </c>
    </row>
    <row r="1463" spans="1:10" ht="21" customHeight="1">
      <c r="A1463" s="507" t="s">
        <v>931</v>
      </c>
      <c r="B1463" s="508" t="s">
        <v>1049</v>
      </c>
      <c r="C1463" s="508" t="s">
        <v>397</v>
      </c>
      <c r="D1463" s="509">
        <v>1E-3</v>
      </c>
      <c r="E1463" s="509"/>
      <c r="F1463" s="509"/>
      <c r="G1463" s="509"/>
      <c r="H1463" s="509"/>
      <c r="I1463" s="509"/>
      <c r="J1463" s="508" t="s">
        <v>1044</v>
      </c>
    </row>
    <row r="1464" spans="1:10" ht="21" customHeight="1">
      <c r="A1464" s="507" t="s">
        <v>931</v>
      </c>
      <c r="B1464" s="508" t="s">
        <v>1050</v>
      </c>
      <c r="C1464" s="508" t="s">
        <v>397</v>
      </c>
      <c r="D1464" s="509">
        <v>1E-3</v>
      </c>
      <c r="E1464" s="509"/>
      <c r="F1464" s="509"/>
      <c r="G1464" s="509"/>
      <c r="H1464" s="509"/>
      <c r="I1464" s="509"/>
      <c r="J1464" s="508" t="s">
        <v>1044</v>
      </c>
    </row>
    <row r="1465" spans="1:10" ht="21" customHeight="1">
      <c r="A1465" s="507" t="s">
        <v>931</v>
      </c>
      <c r="B1465" s="508" t="s">
        <v>827</v>
      </c>
      <c r="C1465" s="508" t="s">
        <v>397</v>
      </c>
      <c r="D1465" s="509">
        <v>1E-3</v>
      </c>
      <c r="E1465" s="509"/>
      <c r="F1465" s="509"/>
      <c r="G1465" s="509"/>
      <c r="H1465" s="509"/>
      <c r="I1465" s="509"/>
      <c r="J1465" s="508" t="s">
        <v>1044</v>
      </c>
    </row>
    <row r="1466" spans="1:10" ht="21" customHeight="1">
      <c r="A1466" s="507" t="s">
        <v>931</v>
      </c>
      <c r="B1466" s="508" t="s">
        <v>1051</v>
      </c>
      <c r="C1466" s="508" t="s">
        <v>397</v>
      </c>
      <c r="D1466" s="509">
        <v>1E-3</v>
      </c>
      <c r="E1466" s="509"/>
      <c r="F1466" s="509"/>
      <c r="G1466" s="509"/>
      <c r="H1466" s="509"/>
      <c r="I1466" s="509"/>
      <c r="J1466" s="508" t="s">
        <v>1044</v>
      </c>
    </row>
    <row r="1467" spans="1:10" ht="21" customHeight="1">
      <c r="A1467" s="507" t="s">
        <v>931</v>
      </c>
      <c r="B1467" s="508" t="s">
        <v>1052</v>
      </c>
      <c r="C1467" s="508" t="s">
        <v>397</v>
      </c>
      <c r="D1467" s="509">
        <v>1E-3</v>
      </c>
      <c r="E1467" s="509"/>
      <c r="F1467" s="509"/>
      <c r="G1467" s="509"/>
      <c r="H1467" s="509"/>
      <c r="I1467" s="509"/>
      <c r="J1467" s="508" t="s">
        <v>1044</v>
      </c>
    </row>
    <row r="1468" spans="1:10" ht="21" customHeight="1">
      <c r="A1468" s="507" t="s">
        <v>931</v>
      </c>
      <c r="B1468" s="508" t="s">
        <v>1053</v>
      </c>
      <c r="C1468" s="508" t="s">
        <v>397</v>
      </c>
      <c r="D1468" s="509">
        <v>1E-3</v>
      </c>
      <c r="E1468" s="509"/>
      <c r="F1468" s="509"/>
      <c r="G1468" s="509"/>
      <c r="H1468" s="509"/>
      <c r="I1468" s="509"/>
      <c r="J1468" s="508" t="s">
        <v>1044</v>
      </c>
    </row>
    <row r="1469" spans="1:10" ht="21" customHeight="1">
      <c r="A1469" s="507" t="s">
        <v>931</v>
      </c>
      <c r="B1469" s="508" t="s">
        <v>1054</v>
      </c>
      <c r="C1469" s="508" t="s">
        <v>397</v>
      </c>
      <c r="D1469" s="509">
        <v>1E-3</v>
      </c>
      <c r="E1469" s="509"/>
      <c r="F1469" s="509"/>
      <c r="G1469" s="509"/>
      <c r="H1469" s="509"/>
      <c r="I1469" s="509"/>
      <c r="J1469" s="508" t="s">
        <v>1044</v>
      </c>
    </row>
    <row r="1470" spans="1:10" ht="21" customHeight="1">
      <c r="A1470" s="507" t="s">
        <v>931</v>
      </c>
      <c r="B1470" s="508" t="s">
        <v>1055</v>
      </c>
      <c r="C1470" s="508" t="s">
        <v>397</v>
      </c>
      <c r="D1470" s="509">
        <v>1E-3</v>
      </c>
      <c r="E1470" s="509"/>
      <c r="F1470" s="509"/>
      <c r="G1470" s="509"/>
      <c r="H1470" s="509"/>
      <c r="I1470" s="509"/>
      <c r="J1470" s="508" t="s">
        <v>1056</v>
      </c>
    </row>
    <row r="1471" spans="1:10" ht="21" customHeight="1">
      <c r="A1471" s="507" t="s">
        <v>931</v>
      </c>
      <c r="B1471" s="508" t="s">
        <v>1057</v>
      </c>
      <c r="C1471" s="508" t="s">
        <v>397</v>
      </c>
      <c r="D1471" s="509">
        <v>1E-3</v>
      </c>
      <c r="E1471" s="509"/>
      <c r="F1471" s="509"/>
      <c r="G1471" s="509"/>
      <c r="H1471" s="509"/>
      <c r="I1471" s="509"/>
      <c r="J1471" s="508" t="s">
        <v>1056</v>
      </c>
    </row>
    <row r="1472" spans="1:10" ht="21" customHeight="1">
      <c r="A1472" s="507" t="s">
        <v>931</v>
      </c>
      <c r="B1472" s="508" t="s">
        <v>1058</v>
      </c>
      <c r="C1472" s="508" t="s">
        <v>397</v>
      </c>
      <c r="D1472" s="509">
        <v>1E-3</v>
      </c>
      <c r="E1472" s="509"/>
      <c r="F1472" s="509"/>
      <c r="G1472" s="509"/>
      <c r="H1472" s="509"/>
      <c r="I1472" s="509"/>
      <c r="J1472" s="508" t="s">
        <v>1056</v>
      </c>
    </row>
    <row r="1473" spans="1:10" ht="21" customHeight="1">
      <c r="A1473" s="507" t="s">
        <v>931</v>
      </c>
      <c r="B1473" s="508" t="s">
        <v>1059</v>
      </c>
      <c r="C1473" s="508" t="s">
        <v>397</v>
      </c>
      <c r="D1473" s="509">
        <v>1E-3</v>
      </c>
      <c r="E1473" s="509"/>
      <c r="F1473" s="509"/>
      <c r="G1473" s="509"/>
      <c r="H1473" s="509"/>
      <c r="I1473" s="509"/>
      <c r="J1473" s="508" t="s">
        <v>1056</v>
      </c>
    </row>
    <row r="1474" spans="1:10" ht="21" customHeight="1">
      <c r="A1474" s="507" t="s">
        <v>931</v>
      </c>
      <c r="B1474" s="508" t="s">
        <v>1060</v>
      </c>
      <c r="C1474" s="508" t="s">
        <v>397</v>
      </c>
      <c r="D1474" s="509">
        <v>1E-3</v>
      </c>
      <c r="E1474" s="509"/>
      <c r="F1474" s="509"/>
      <c r="G1474" s="509"/>
      <c r="H1474" s="509"/>
      <c r="I1474" s="509"/>
      <c r="J1474" s="508" t="s">
        <v>1056</v>
      </c>
    </row>
    <row r="1475" spans="1:10" ht="21" customHeight="1">
      <c r="A1475" s="507" t="s">
        <v>931</v>
      </c>
      <c r="B1475" s="508" t="s">
        <v>1061</v>
      </c>
      <c r="C1475" s="508" t="s">
        <v>397</v>
      </c>
      <c r="D1475" s="509">
        <v>1E-3</v>
      </c>
      <c r="E1475" s="509"/>
      <c r="F1475" s="509"/>
      <c r="G1475" s="509"/>
      <c r="H1475" s="509"/>
      <c r="I1475" s="509"/>
      <c r="J1475" s="508" t="s">
        <v>1056</v>
      </c>
    </row>
    <row r="1476" spans="1:10" ht="21" customHeight="1">
      <c r="A1476" s="507" t="s">
        <v>931</v>
      </c>
      <c r="B1476" s="508" t="s">
        <v>1062</v>
      </c>
      <c r="C1476" s="508" t="s">
        <v>397</v>
      </c>
      <c r="D1476" s="509">
        <v>1E-3</v>
      </c>
      <c r="E1476" s="509"/>
      <c r="F1476" s="509"/>
      <c r="G1476" s="509"/>
      <c r="H1476" s="509"/>
      <c r="I1476" s="509"/>
      <c r="J1476" s="508" t="s">
        <v>1056</v>
      </c>
    </row>
    <row r="1477" spans="1:10" ht="21" customHeight="1">
      <c r="A1477" s="507" t="s">
        <v>931</v>
      </c>
      <c r="B1477" s="508" t="s">
        <v>896</v>
      </c>
      <c r="C1477" s="508" t="s">
        <v>397</v>
      </c>
      <c r="D1477" s="509">
        <v>1E-3</v>
      </c>
      <c r="E1477" s="509"/>
      <c r="F1477" s="509"/>
      <c r="G1477" s="509"/>
      <c r="H1477" s="509"/>
      <c r="I1477" s="509"/>
      <c r="J1477" s="508" t="s">
        <v>1056</v>
      </c>
    </row>
    <row r="1478" spans="1:10" ht="21" customHeight="1">
      <c r="A1478" s="507" t="s">
        <v>931</v>
      </c>
      <c r="B1478" s="508" t="s">
        <v>1063</v>
      </c>
      <c r="C1478" s="508" t="s">
        <v>397</v>
      </c>
      <c r="D1478" s="509">
        <v>1E-3</v>
      </c>
      <c r="E1478" s="509"/>
      <c r="F1478" s="509"/>
      <c r="G1478" s="509"/>
      <c r="H1478" s="509"/>
      <c r="I1478" s="509"/>
      <c r="J1478" s="508" t="s">
        <v>1056</v>
      </c>
    </row>
    <row r="1479" spans="1:10" ht="21" customHeight="1">
      <c r="A1479" s="507" t="s">
        <v>931</v>
      </c>
      <c r="B1479" s="508" t="s">
        <v>1064</v>
      </c>
      <c r="C1479" s="508" t="s">
        <v>397</v>
      </c>
      <c r="D1479" s="509">
        <v>1E-3</v>
      </c>
      <c r="E1479" s="509"/>
      <c r="F1479" s="509"/>
      <c r="G1479" s="509"/>
      <c r="H1479" s="509"/>
      <c r="I1479" s="509"/>
      <c r="J1479" s="508" t="s">
        <v>1056</v>
      </c>
    </row>
    <row r="1480" spans="1:10" ht="21" customHeight="1">
      <c r="A1480" s="507" t="s">
        <v>931</v>
      </c>
      <c r="B1480" s="508" t="s">
        <v>1065</v>
      </c>
      <c r="C1480" s="508" t="s">
        <v>397</v>
      </c>
      <c r="D1480" s="509">
        <v>1E-3</v>
      </c>
      <c r="E1480" s="509"/>
      <c r="F1480" s="509"/>
      <c r="G1480" s="509"/>
      <c r="H1480" s="509"/>
      <c r="I1480" s="509"/>
      <c r="J1480" s="508" t="s">
        <v>1056</v>
      </c>
    </row>
    <row r="1481" spans="1:10" ht="21" customHeight="1">
      <c r="A1481" s="507" t="s">
        <v>931</v>
      </c>
      <c r="B1481" s="508" t="s">
        <v>1066</v>
      </c>
      <c r="C1481" s="508" t="s">
        <v>397</v>
      </c>
      <c r="D1481" s="509">
        <v>1E-3</v>
      </c>
      <c r="E1481" s="509"/>
      <c r="F1481" s="509"/>
      <c r="G1481" s="509"/>
      <c r="H1481" s="509"/>
      <c r="I1481" s="509"/>
      <c r="J1481" s="508" t="s">
        <v>1056</v>
      </c>
    </row>
    <row r="1482" spans="1:10" ht="21" customHeight="1">
      <c r="A1482" s="507" t="s">
        <v>931</v>
      </c>
      <c r="B1482" s="508" t="s">
        <v>1067</v>
      </c>
      <c r="C1482" s="508" t="s">
        <v>397</v>
      </c>
      <c r="D1482" s="509">
        <v>1E-3</v>
      </c>
      <c r="E1482" s="509"/>
      <c r="F1482" s="509"/>
      <c r="G1482" s="509"/>
      <c r="H1482" s="509"/>
      <c r="I1482" s="509"/>
      <c r="J1482" s="508" t="s">
        <v>1068</v>
      </c>
    </row>
    <row r="1483" spans="1:10" ht="21" customHeight="1">
      <c r="A1483" s="507" t="s">
        <v>931</v>
      </c>
      <c r="B1483" s="508" t="s">
        <v>1069</v>
      </c>
      <c r="C1483" s="508" t="s">
        <v>397</v>
      </c>
      <c r="D1483" s="509">
        <v>1E-3</v>
      </c>
      <c r="E1483" s="509"/>
      <c r="F1483" s="509"/>
      <c r="G1483" s="509"/>
      <c r="H1483" s="509"/>
      <c r="I1483" s="509"/>
      <c r="J1483" s="508" t="s">
        <v>1068</v>
      </c>
    </row>
    <row r="1484" spans="1:10" ht="21" customHeight="1">
      <c r="A1484" s="507" t="s">
        <v>931</v>
      </c>
      <c r="B1484" s="508" t="s">
        <v>1070</v>
      </c>
      <c r="C1484" s="508" t="s">
        <v>397</v>
      </c>
      <c r="D1484" s="509">
        <v>1E-3</v>
      </c>
      <c r="E1484" s="509"/>
      <c r="F1484" s="509"/>
      <c r="G1484" s="509"/>
      <c r="H1484" s="509"/>
      <c r="I1484" s="509"/>
      <c r="J1484" s="508" t="s">
        <v>1068</v>
      </c>
    </row>
    <row r="1485" spans="1:10" ht="21" customHeight="1">
      <c r="A1485" s="507" t="s">
        <v>931</v>
      </c>
      <c r="B1485" s="508" t="s">
        <v>1071</v>
      </c>
      <c r="C1485" s="508" t="s">
        <v>397</v>
      </c>
      <c r="D1485" s="509">
        <v>1E-3</v>
      </c>
      <c r="E1485" s="509"/>
      <c r="F1485" s="509"/>
      <c r="G1485" s="509"/>
      <c r="H1485" s="509"/>
      <c r="I1485" s="509"/>
      <c r="J1485" s="508" t="s">
        <v>1068</v>
      </c>
    </row>
    <row r="1486" spans="1:10" ht="21" customHeight="1">
      <c r="A1486" s="507" t="s">
        <v>931</v>
      </c>
      <c r="B1486" s="508" t="s">
        <v>1072</v>
      </c>
      <c r="C1486" s="508" t="s">
        <v>397</v>
      </c>
      <c r="D1486" s="509">
        <v>1E-3</v>
      </c>
      <c r="E1486" s="509"/>
      <c r="F1486" s="509"/>
      <c r="G1486" s="509"/>
      <c r="H1486" s="509"/>
      <c r="I1486" s="509"/>
      <c r="J1486" s="508" t="s">
        <v>1068</v>
      </c>
    </row>
    <row r="1487" spans="1:10" ht="21" customHeight="1">
      <c r="A1487" s="507" t="s">
        <v>931</v>
      </c>
      <c r="B1487" s="508" t="s">
        <v>1073</v>
      </c>
      <c r="C1487" s="508" t="s">
        <v>397</v>
      </c>
      <c r="D1487" s="509">
        <v>1E-3</v>
      </c>
      <c r="E1487" s="509"/>
      <c r="F1487" s="509"/>
      <c r="G1487" s="509"/>
      <c r="H1487" s="509"/>
      <c r="I1487" s="509"/>
      <c r="J1487" s="508" t="s">
        <v>1068</v>
      </c>
    </row>
    <row r="1488" spans="1:10" ht="21" customHeight="1">
      <c r="A1488" s="507" t="s">
        <v>931</v>
      </c>
      <c r="B1488" s="508" t="s">
        <v>1074</v>
      </c>
      <c r="C1488" s="508" t="s">
        <v>397</v>
      </c>
      <c r="D1488" s="509">
        <v>1E-3</v>
      </c>
      <c r="E1488" s="509"/>
      <c r="F1488" s="509"/>
      <c r="G1488" s="509"/>
      <c r="H1488" s="509"/>
      <c r="I1488" s="509"/>
      <c r="J1488" s="508" t="s">
        <v>1068</v>
      </c>
    </row>
    <row r="1489" spans="1:10" ht="21" customHeight="1">
      <c r="A1489" s="507" t="s">
        <v>931</v>
      </c>
      <c r="B1489" s="508" t="s">
        <v>1075</v>
      </c>
      <c r="C1489" s="508" t="s">
        <v>397</v>
      </c>
      <c r="D1489" s="509">
        <v>1E-3</v>
      </c>
      <c r="E1489" s="509"/>
      <c r="F1489" s="509"/>
      <c r="G1489" s="509"/>
      <c r="H1489" s="509"/>
      <c r="I1489" s="509"/>
      <c r="J1489" s="508" t="s">
        <v>1068</v>
      </c>
    </row>
    <row r="1490" spans="1:10" ht="21" customHeight="1">
      <c r="A1490" s="507" t="s">
        <v>931</v>
      </c>
      <c r="B1490" s="508" t="s">
        <v>1076</v>
      </c>
      <c r="C1490" s="508" t="s">
        <v>397</v>
      </c>
      <c r="D1490" s="509">
        <v>1E-3</v>
      </c>
      <c r="E1490" s="509"/>
      <c r="F1490" s="509"/>
      <c r="G1490" s="509"/>
      <c r="H1490" s="509"/>
      <c r="I1490" s="509"/>
      <c r="J1490" s="508" t="s">
        <v>1068</v>
      </c>
    </row>
    <row r="1491" spans="1:10" ht="21" customHeight="1">
      <c r="A1491" s="507" t="s">
        <v>931</v>
      </c>
      <c r="B1491" s="508" t="s">
        <v>1077</v>
      </c>
      <c r="C1491" s="508" t="s">
        <v>397</v>
      </c>
      <c r="D1491" s="509">
        <v>1E-3</v>
      </c>
      <c r="E1491" s="509"/>
      <c r="F1491" s="509"/>
      <c r="G1491" s="509"/>
      <c r="H1491" s="509"/>
      <c r="I1491" s="509"/>
      <c r="J1491" s="508" t="s">
        <v>1068</v>
      </c>
    </row>
    <row r="1492" spans="1:10" ht="21" customHeight="1">
      <c r="A1492" s="507" t="s">
        <v>931</v>
      </c>
      <c r="B1492" s="508" t="s">
        <v>1078</v>
      </c>
      <c r="C1492" s="508" t="s">
        <v>397</v>
      </c>
      <c r="D1492" s="509">
        <v>1E-3</v>
      </c>
      <c r="E1492" s="509"/>
      <c r="F1492" s="509"/>
      <c r="G1492" s="509"/>
      <c r="H1492" s="509"/>
      <c r="I1492" s="509"/>
      <c r="J1492" s="508" t="s">
        <v>1068</v>
      </c>
    </row>
    <row r="1493" spans="1:10" ht="21" customHeight="1">
      <c r="A1493" s="507" t="s">
        <v>931</v>
      </c>
      <c r="B1493" s="508" t="s">
        <v>1079</v>
      </c>
      <c r="C1493" s="508" t="s">
        <v>397</v>
      </c>
      <c r="D1493" s="509">
        <v>1E-3</v>
      </c>
      <c r="E1493" s="509"/>
      <c r="F1493" s="509"/>
      <c r="G1493" s="509"/>
      <c r="H1493" s="509"/>
      <c r="I1493" s="509"/>
      <c r="J1493" s="508" t="s">
        <v>1068</v>
      </c>
    </row>
    <row r="1494" spans="1:10" ht="21" customHeight="1">
      <c r="A1494" s="507" t="s">
        <v>931</v>
      </c>
      <c r="B1494" s="508" t="s">
        <v>1080</v>
      </c>
      <c r="C1494" s="508" t="s">
        <v>397</v>
      </c>
      <c r="D1494" s="509">
        <v>1E-3</v>
      </c>
      <c r="E1494" s="509"/>
      <c r="F1494" s="509"/>
      <c r="G1494" s="509"/>
      <c r="H1494" s="509"/>
      <c r="I1494" s="509"/>
      <c r="J1494" s="508" t="s">
        <v>1081</v>
      </c>
    </row>
    <row r="1495" spans="1:10" ht="21" customHeight="1">
      <c r="A1495" s="507" t="s">
        <v>931</v>
      </c>
      <c r="B1495" s="508" t="s">
        <v>1082</v>
      </c>
      <c r="C1495" s="508" t="s">
        <v>397</v>
      </c>
      <c r="D1495" s="509">
        <v>1E-3</v>
      </c>
      <c r="E1495" s="509"/>
      <c r="F1495" s="509"/>
      <c r="G1495" s="509"/>
      <c r="H1495" s="509"/>
      <c r="I1495" s="509"/>
      <c r="J1495" s="508" t="s">
        <v>1081</v>
      </c>
    </row>
    <row r="1496" spans="1:10" ht="21" customHeight="1">
      <c r="A1496" s="507" t="s">
        <v>931</v>
      </c>
      <c r="B1496" s="508" t="s">
        <v>1083</v>
      </c>
      <c r="C1496" s="508" t="s">
        <v>397</v>
      </c>
      <c r="D1496" s="509">
        <v>1E-3</v>
      </c>
      <c r="E1496" s="509"/>
      <c r="F1496" s="509"/>
      <c r="G1496" s="509"/>
      <c r="H1496" s="509"/>
      <c r="I1496" s="509"/>
      <c r="J1496" s="508" t="s">
        <v>1081</v>
      </c>
    </row>
    <row r="1497" spans="1:10" ht="21" customHeight="1">
      <c r="A1497" s="507" t="s">
        <v>931</v>
      </c>
      <c r="B1497" s="508" t="s">
        <v>1084</v>
      </c>
      <c r="C1497" s="508" t="s">
        <v>397</v>
      </c>
      <c r="D1497" s="509">
        <v>1E-3</v>
      </c>
      <c r="E1497" s="509"/>
      <c r="F1497" s="509"/>
      <c r="G1497" s="509"/>
      <c r="H1497" s="509"/>
      <c r="I1497" s="509"/>
      <c r="J1497" s="508" t="s">
        <v>1081</v>
      </c>
    </row>
    <row r="1498" spans="1:10" ht="21" customHeight="1">
      <c r="A1498" s="507" t="s">
        <v>931</v>
      </c>
      <c r="B1498" s="508" t="s">
        <v>1085</v>
      </c>
      <c r="C1498" s="508" t="s">
        <v>397</v>
      </c>
      <c r="D1498" s="509">
        <v>1E-3</v>
      </c>
      <c r="E1498" s="509"/>
      <c r="F1498" s="509"/>
      <c r="G1498" s="509"/>
      <c r="H1498" s="509"/>
      <c r="I1498" s="509"/>
      <c r="J1498" s="508" t="s">
        <v>1081</v>
      </c>
    </row>
    <row r="1499" spans="1:10" ht="21" customHeight="1">
      <c r="A1499" s="507" t="s">
        <v>931</v>
      </c>
      <c r="B1499" s="508" t="s">
        <v>1086</v>
      </c>
      <c r="C1499" s="508" t="s">
        <v>397</v>
      </c>
      <c r="D1499" s="509">
        <v>1E-3</v>
      </c>
      <c r="E1499" s="509"/>
      <c r="F1499" s="509"/>
      <c r="G1499" s="509"/>
      <c r="H1499" s="509"/>
      <c r="I1499" s="509"/>
      <c r="J1499" s="508" t="s">
        <v>1081</v>
      </c>
    </row>
    <row r="1500" spans="1:10" ht="21" customHeight="1">
      <c r="A1500" s="507" t="s">
        <v>931</v>
      </c>
      <c r="B1500" s="508" t="s">
        <v>1087</v>
      </c>
      <c r="C1500" s="508" t="s">
        <v>397</v>
      </c>
      <c r="D1500" s="509">
        <v>1E-3</v>
      </c>
      <c r="E1500" s="509"/>
      <c r="F1500" s="509"/>
      <c r="G1500" s="509"/>
      <c r="H1500" s="509"/>
      <c r="I1500" s="509"/>
      <c r="J1500" s="508" t="s">
        <v>1081</v>
      </c>
    </row>
    <row r="1501" spans="1:10" ht="21" customHeight="1">
      <c r="A1501" s="507" t="s">
        <v>931</v>
      </c>
      <c r="B1501" s="508" t="s">
        <v>1088</v>
      </c>
      <c r="C1501" s="508" t="s">
        <v>397</v>
      </c>
      <c r="D1501" s="509">
        <v>1E-3</v>
      </c>
      <c r="E1501" s="509"/>
      <c r="F1501" s="509"/>
      <c r="G1501" s="509"/>
      <c r="H1501" s="509"/>
      <c r="I1501" s="509"/>
      <c r="J1501" s="508" t="s">
        <v>1081</v>
      </c>
    </row>
    <row r="1502" spans="1:10" ht="21" customHeight="1">
      <c r="A1502" s="507" t="s">
        <v>931</v>
      </c>
      <c r="B1502" s="508" t="s">
        <v>1089</v>
      </c>
      <c r="C1502" s="508" t="s">
        <v>397</v>
      </c>
      <c r="D1502" s="509">
        <v>1E-3</v>
      </c>
      <c r="E1502" s="509"/>
      <c r="F1502" s="509"/>
      <c r="G1502" s="509"/>
      <c r="H1502" s="509"/>
      <c r="I1502" s="509"/>
      <c r="J1502" s="508" t="s">
        <v>1081</v>
      </c>
    </row>
    <row r="1503" spans="1:10" ht="21" customHeight="1">
      <c r="A1503" s="507" t="s">
        <v>931</v>
      </c>
      <c r="B1503" s="508" t="s">
        <v>1090</v>
      </c>
      <c r="C1503" s="508" t="s">
        <v>397</v>
      </c>
      <c r="D1503" s="509">
        <v>1E-3</v>
      </c>
      <c r="E1503" s="509"/>
      <c r="F1503" s="509"/>
      <c r="G1503" s="509"/>
      <c r="H1503" s="509"/>
      <c r="I1503" s="509"/>
      <c r="J1503" s="508" t="s">
        <v>1081</v>
      </c>
    </row>
    <row r="1504" spans="1:10" ht="21" customHeight="1">
      <c r="A1504" s="507" t="s">
        <v>931</v>
      </c>
      <c r="B1504" s="508" t="s">
        <v>1091</v>
      </c>
      <c r="C1504" s="508" t="s">
        <v>397</v>
      </c>
      <c r="D1504" s="509">
        <v>1E-3</v>
      </c>
      <c r="E1504" s="509"/>
      <c r="F1504" s="509"/>
      <c r="G1504" s="509"/>
      <c r="H1504" s="509"/>
      <c r="I1504" s="509"/>
      <c r="J1504" s="508" t="s">
        <v>1081</v>
      </c>
    </row>
    <row r="1505" spans="1:10" ht="21" customHeight="1">
      <c r="A1505" s="507" t="s">
        <v>931</v>
      </c>
      <c r="B1505" s="508" t="s">
        <v>1092</v>
      </c>
      <c r="C1505" s="508" t="s">
        <v>397</v>
      </c>
      <c r="D1505" s="509">
        <v>1E-3</v>
      </c>
      <c r="E1505" s="509"/>
      <c r="F1505" s="509"/>
      <c r="G1505" s="509"/>
      <c r="H1505" s="509"/>
      <c r="I1505" s="509"/>
      <c r="J1505" s="508" t="s">
        <v>1081</v>
      </c>
    </row>
    <row r="1506" spans="1:10" ht="21" customHeight="1">
      <c r="A1506" s="507" t="s">
        <v>931</v>
      </c>
      <c r="B1506" s="508" t="s">
        <v>1093</v>
      </c>
      <c r="C1506" s="508" t="s">
        <v>411</v>
      </c>
      <c r="D1506" s="509">
        <f>AVERAGE($D$1314,$D$1326,$D$1346,$D$1366,$D$1386,$D$1406,$D$1426,$D$1446,$D$1458,$D$1470,$D$1482,$D$1494)</f>
        <v>1.0000000000000002E-3</v>
      </c>
      <c r="E1506" s="509"/>
      <c r="F1506" s="509"/>
      <c r="G1506" s="509"/>
      <c r="H1506" s="509"/>
      <c r="I1506" s="509"/>
      <c r="J1506" s="508" t="s">
        <v>1094</v>
      </c>
    </row>
    <row r="1507" spans="1:10" ht="21" customHeight="1">
      <c r="A1507" s="507" t="s">
        <v>931</v>
      </c>
      <c r="B1507" s="508" t="s">
        <v>1095</v>
      </c>
      <c r="C1507" s="508" t="s">
        <v>411</v>
      </c>
      <c r="D1507" s="509">
        <f>AVERAGE($D$1315,$D$1327,$D$1347,$D$1367,$D$1387,$D$1407,$D$1427,$D$1447,$D$1459,$D$1471,$D$1483,$D$1495)</f>
        <v>1.0000000000000002E-3</v>
      </c>
      <c r="E1507" s="509"/>
      <c r="F1507" s="509"/>
      <c r="G1507" s="509"/>
      <c r="H1507" s="509"/>
      <c r="I1507" s="509"/>
      <c r="J1507" s="508" t="s">
        <v>1094</v>
      </c>
    </row>
    <row r="1508" spans="1:10" ht="21" customHeight="1">
      <c r="A1508" s="507" t="s">
        <v>931</v>
      </c>
      <c r="B1508" s="508" t="s">
        <v>1096</v>
      </c>
      <c r="C1508" s="508" t="s">
        <v>411</v>
      </c>
      <c r="D1508" s="509">
        <f>AVERAGE($D$1316,$D$1328,$D$1348,$D$1368,$D$1388,$D$1408,$D$1428,$D$1448,$D$1460,$D$1472,$D$1484,$D$1496)</f>
        <v>1.0000000000000002E-3</v>
      </c>
      <c r="E1508" s="509"/>
      <c r="F1508" s="509"/>
      <c r="G1508" s="509"/>
      <c r="H1508" s="509"/>
      <c r="I1508" s="509"/>
      <c r="J1508" s="508" t="s">
        <v>1094</v>
      </c>
    </row>
    <row r="1509" spans="1:10" ht="21" customHeight="1">
      <c r="A1509" s="507" t="s">
        <v>931</v>
      </c>
      <c r="B1509" s="508" t="s">
        <v>1097</v>
      </c>
      <c r="C1509" s="508" t="s">
        <v>411</v>
      </c>
      <c r="D1509" s="509">
        <f>AVERAGE($D$1317,$D$1329,$D$1349,$D$1369,$D$1389,$D$1409,$D$1429,$D$1449,$D$1461,$D$1473,$D$1485,$D$1497)</f>
        <v>1.0000000000000002E-3</v>
      </c>
      <c r="E1509" s="509"/>
      <c r="F1509" s="509"/>
      <c r="G1509" s="509"/>
      <c r="H1509" s="509"/>
      <c r="I1509" s="509"/>
      <c r="J1509" s="508" t="s">
        <v>1094</v>
      </c>
    </row>
    <row r="1510" spans="1:10" ht="21" customHeight="1">
      <c r="A1510" s="507" t="s">
        <v>931</v>
      </c>
      <c r="B1510" s="508" t="s">
        <v>1098</v>
      </c>
      <c r="C1510" s="508" t="s">
        <v>411</v>
      </c>
      <c r="D1510" s="509">
        <f>AVERAGE($D$1318,$D$1330,$D$1350,$D$1370,$D$1390,$D$1410,$D$1430,$D$1450,$D$1462,$D$1474,$D$1486,$D$1498)</f>
        <v>1.0000000000000002E-3</v>
      </c>
      <c r="E1510" s="509"/>
      <c r="F1510" s="509"/>
      <c r="G1510" s="509"/>
      <c r="H1510" s="509"/>
      <c r="I1510" s="509"/>
      <c r="J1510" s="508" t="s">
        <v>1094</v>
      </c>
    </row>
    <row r="1511" spans="1:10" ht="21" customHeight="1">
      <c r="A1511" s="507" t="s">
        <v>931</v>
      </c>
      <c r="B1511" s="508" t="s">
        <v>1099</v>
      </c>
      <c r="C1511" s="508" t="s">
        <v>411</v>
      </c>
      <c r="D1511" s="509">
        <f>AVERAGE($D$1319,$D$1331,$D$1351,$D$1371,$D$1391,$D$1411,$D$1431,$D$1451,$D$1463,$D$1475,$D$1487,$D$1499)</f>
        <v>1.0000000000000002E-3</v>
      </c>
      <c r="E1511" s="509"/>
      <c r="F1511" s="509"/>
      <c r="G1511" s="509"/>
      <c r="H1511" s="509"/>
      <c r="I1511" s="509"/>
      <c r="J1511" s="508" t="s">
        <v>1094</v>
      </c>
    </row>
    <row r="1512" spans="1:10" ht="21" customHeight="1">
      <c r="A1512" s="507" t="s">
        <v>931</v>
      </c>
      <c r="B1512" s="508" t="s">
        <v>1100</v>
      </c>
      <c r="C1512" s="508" t="s">
        <v>411</v>
      </c>
      <c r="D1512" s="509">
        <f>AVERAGE($D$1320,$D$1340,$D$1360,$D$1380,$D$1400,$D$1420,$D$1440,$D$1452,$D$1464,$D$1476,$D$1488,$D$1500)</f>
        <v>9.5000000000000032E-4</v>
      </c>
      <c r="E1512" s="509"/>
      <c r="F1512" s="509"/>
      <c r="G1512" s="509"/>
      <c r="H1512" s="509"/>
      <c r="I1512" s="509"/>
      <c r="J1512" s="508" t="s">
        <v>1094</v>
      </c>
    </row>
    <row r="1513" spans="1:10" ht="21" customHeight="1">
      <c r="A1513" s="507" t="s">
        <v>931</v>
      </c>
      <c r="B1513" s="508" t="s">
        <v>1101</v>
      </c>
      <c r="C1513" s="508" t="s">
        <v>411</v>
      </c>
      <c r="D1513" s="509">
        <f>AVERAGE($D$1321,$D$1341,$D$1361,$D$1381,$D$1401,$D$1421,$D$1441,$D$1453,$D$1465,$D$1477,$D$1489,$D$1501)</f>
        <v>1.0000000000000002E-3</v>
      </c>
      <c r="E1513" s="509"/>
      <c r="F1513" s="509"/>
      <c r="G1513" s="509"/>
      <c r="H1513" s="509"/>
      <c r="I1513" s="509"/>
      <c r="J1513" s="508" t="s">
        <v>1094</v>
      </c>
    </row>
    <row r="1514" spans="1:10" ht="21" customHeight="1">
      <c r="A1514" s="507" t="s">
        <v>931</v>
      </c>
      <c r="B1514" s="508" t="s">
        <v>1102</v>
      </c>
      <c r="C1514" s="508" t="s">
        <v>411</v>
      </c>
      <c r="D1514" s="509">
        <f>AVERAGE($D$1322,$D$1342,$D$1362,$D$1382,$D$1402,$D$1422,$D$1442,$D$1454,$D$1466,$D$1478,$D$1490,$D$1502)</f>
        <v>1.0000000000000002E-3</v>
      </c>
      <c r="E1514" s="509"/>
      <c r="F1514" s="509"/>
      <c r="G1514" s="509"/>
      <c r="H1514" s="509"/>
      <c r="I1514" s="509"/>
      <c r="J1514" s="508" t="s">
        <v>1094</v>
      </c>
    </row>
    <row r="1515" spans="1:10" ht="21" customHeight="1">
      <c r="A1515" s="507" t="s">
        <v>931</v>
      </c>
      <c r="B1515" s="508" t="s">
        <v>1103</v>
      </c>
      <c r="C1515" s="508" t="s">
        <v>411</v>
      </c>
      <c r="D1515" s="509">
        <f>AVERAGE($D$1323,$D$1343,$D$1363,$D$1383,$D$1403,$D$1423,$D$1443,$D$1455,$D$1467,$D$1479,$D$1491,$D$1503)</f>
        <v>1.0000000000000002E-3</v>
      </c>
      <c r="E1515" s="509"/>
      <c r="F1515" s="509"/>
      <c r="G1515" s="509"/>
      <c r="H1515" s="509"/>
      <c r="I1515" s="509"/>
      <c r="J1515" s="508" t="s">
        <v>1094</v>
      </c>
    </row>
    <row r="1516" spans="1:10" ht="21" customHeight="1">
      <c r="A1516" s="507" t="s">
        <v>931</v>
      </c>
      <c r="B1516" s="508" t="s">
        <v>1104</v>
      </c>
      <c r="C1516" s="508" t="s">
        <v>411</v>
      </c>
      <c r="D1516" s="509">
        <f>AVERAGE($D$1324,$D$1344,$D$1364,$D$1384,$D$1404,$D$1424,$D$1444,$D$1456,$D$1468,$D$1480,$D$1492,$D$1504)</f>
        <v>1.0000000000000002E-3</v>
      </c>
      <c r="E1516" s="509"/>
      <c r="F1516" s="509"/>
      <c r="G1516" s="509"/>
      <c r="H1516" s="509"/>
      <c r="I1516" s="509"/>
      <c r="J1516" s="508" t="s">
        <v>1094</v>
      </c>
    </row>
    <row r="1517" spans="1:10" ht="21" customHeight="1">
      <c r="A1517" s="507" t="s">
        <v>931</v>
      </c>
      <c r="B1517" s="508" t="s">
        <v>1105</v>
      </c>
      <c r="C1517" s="508" t="s">
        <v>411</v>
      </c>
      <c r="D1517" s="509">
        <f>AVERAGE($D$1325,$D$1345,$D$1365,$D$1385,$D$1405,$D$1425,$D$1445,$D$1457,$D$1469,$D$1481,$D$1493,$D$1505)</f>
        <v>1.0000000000000002E-3</v>
      </c>
      <c r="E1517" s="509"/>
      <c r="F1517" s="509"/>
      <c r="G1517" s="509"/>
      <c r="H1517" s="509"/>
      <c r="I1517" s="509"/>
      <c r="J1517" s="508" t="s">
        <v>1094</v>
      </c>
    </row>
    <row r="1518" spans="1:10" ht="21" customHeight="1">
      <c r="A1518" s="507" t="s">
        <v>931</v>
      </c>
      <c r="B1518" s="508" t="s">
        <v>493</v>
      </c>
      <c r="C1518" s="508" t="s">
        <v>397</v>
      </c>
      <c r="D1518" s="509">
        <v>0</v>
      </c>
      <c r="E1518" s="509"/>
      <c r="F1518" s="509"/>
      <c r="G1518" s="509"/>
      <c r="H1518" s="509"/>
      <c r="I1518" s="509"/>
      <c r="J1518" s="508" t="s">
        <v>398</v>
      </c>
    </row>
    <row r="1519" spans="1:10" ht="21" customHeight="1">
      <c r="A1519" s="507" t="s">
        <v>931</v>
      </c>
      <c r="B1519" s="508" t="s">
        <v>494</v>
      </c>
      <c r="C1519" s="508" t="s">
        <v>397</v>
      </c>
      <c r="D1519" s="509">
        <v>0</v>
      </c>
      <c r="E1519" s="509"/>
      <c r="F1519" s="509"/>
      <c r="G1519" s="509"/>
      <c r="H1519" s="509"/>
      <c r="I1519" s="509"/>
      <c r="J1519" s="508" t="s">
        <v>398</v>
      </c>
    </row>
    <row r="1520" spans="1:10" ht="21" customHeight="1">
      <c r="A1520" s="507" t="s">
        <v>931</v>
      </c>
      <c r="B1520" s="508" t="s">
        <v>495</v>
      </c>
      <c r="C1520" s="508" t="s">
        <v>397</v>
      </c>
      <c r="D1520" s="509">
        <v>373660</v>
      </c>
      <c r="E1520" s="509"/>
      <c r="F1520" s="509"/>
      <c r="G1520" s="509"/>
      <c r="H1520" s="509"/>
      <c r="I1520" s="509"/>
      <c r="J1520" s="508" t="s">
        <v>398</v>
      </c>
    </row>
    <row r="1521" spans="1:10" ht="21" customHeight="1">
      <c r="A1521" s="507" t="s">
        <v>931</v>
      </c>
      <c r="B1521" s="508" t="s">
        <v>496</v>
      </c>
      <c r="C1521" s="508" t="s">
        <v>397</v>
      </c>
      <c r="D1521" s="509">
        <v>333916</v>
      </c>
      <c r="E1521" s="509"/>
      <c r="F1521" s="509"/>
      <c r="G1521" s="509"/>
      <c r="H1521" s="509"/>
      <c r="I1521" s="509"/>
      <c r="J1521" s="508" t="s">
        <v>398</v>
      </c>
    </row>
    <row r="1522" spans="1:10" ht="21" customHeight="1">
      <c r="A1522" s="507" t="s">
        <v>931</v>
      </c>
      <c r="B1522" s="508" t="s">
        <v>771</v>
      </c>
      <c r="C1522" s="508" t="s">
        <v>397</v>
      </c>
      <c r="D1522" s="509">
        <v>0</v>
      </c>
      <c r="E1522" s="509"/>
      <c r="F1522" s="509"/>
      <c r="G1522" s="509"/>
      <c r="H1522" s="509"/>
      <c r="I1522" s="509"/>
      <c r="J1522" s="508" t="s">
        <v>398</v>
      </c>
    </row>
    <row r="1523" spans="1:10" ht="21" customHeight="1">
      <c r="A1523" s="507" t="s">
        <v>931</v>
      </c>
      <c r="B1523" s="508" t="s">
        <v>772</v>
      </c>
      <c r="C1523" s="508" t="s">
        <v>397</v>
      </c>
      <c r="D1523" s="509">
        <v>149807</v>
      </c>
      <c r="E1523" s="509"/>
      <c r="F1523" s="509"/>
      <c r="G1523" s="509"/>
      <c r="H1523" s="509"/>
      <c r="I1523" s="509"/>
      <c r="J1523" s="508" t="s">
        <v>1106</v>
      </c>
    </row>
    <row r="1524" spans="1:10" ht="21" customHeight="1">
      <c r="A1524" s="507" t="s">
        <v>931</v>
      </c>
      <c r="B1524" s="508" t="s">
        <v>773</v>
      </c>
      <c r="C1524" s="508" t="s">
        <v>397</v>
      </c>
      <c r="D1524" s="509">
        <v>0</v>
      </c>
      <c r="E1524" s="509"/>
      <c r="F1524" s="509"/>
      <c r="G1524" s="509"/>
      <c r="H1524" s="509"/>
      <c r="I1524" s="509"/>
      <c r="J1524" s="508" t="s">
        <v>1106</v>
      </c>
    </row>
    <row r="1525" spans="1:10" ht="21" customHeight="1">
      <c r="A1525" s="507" t="s">
        <v>931</v>
      </c>
      <c r="B1525" s="508" t="s">
        <v>497</v>
      </c>
      <c r="C1525" s="508" t="s">
        <v>397</v>
      </c>
      <c r="D1525" s="509"/>
      <c r="E1525" s="509">
        <v>0</v>
      </c>
      <c r="F1525" s="509"/>
      <c r="G1525" s="509"/>
      <c r="H1525" s="509"/>
      <c r="I1525" s="509"/>
      <c r="J1525" s="508" t="s">
        <v>412</v>
      </c>
    </row>
    <row r="1526" spans="1:10" ht="21" customHeight="1">
      <c r="A1526" s="507" t="s">
        <v>931</v>
      </c>
      <c r="B1526" s="508" t="s">
        <v>498</v>
      </c>
      <c r="C1526" s="508" t="s">
        <v>397</v>
      </c>
      <c r="D1526" s="509"/>
      <c r="E1526" s="509">
        <v>1064</v>
      </c>
      <c r="F1526" s="509"/>
      <c r="G1526" s="509"/>
      <c r="H1526" s="509"/>
      <c r="I1526" s="509"/>
      <c r="J1526" s="508" t="s">
        <v>412</v>
      </c>
    </row>
    <row r="1527" spans="1:10" ht="21" customHeight="1">
      <c r="A1527" s="507" t="s">
        <v>931</v>
      </c>
      <c r="B1527" s="508" t="s">
        <v>499</v>
      </c>
      <c r="C1527" s="508" t="s">
        <v>397</v>
      </c>
      <c r="D1527" s="509"/>
      <c r="E1527" s="509">
        <v>290842</v>
      </c>
      <c r="F1527" s="509"/>
      <c r="G1527" s="509"/>
      <c r="H1527" s="509"/>
      <c r="I1527" s="509"/>
      <c r="J1527" s="508" t="s">
        <v>412</v>
      </c>
    </row>
    <row r="1528" spans="1:10" ht="21" customHeight="1">
      <c r="A1528" s="507" t="s">
        <v>931</v>
      </c>
      <c r="B1528" s="508" t="s">
        <v>500</v>
      </c>
      <c r="C1528" s="508" t="s">
        <v>397</v>
      </c>
      <c r="D1528" s="509"/>
      <c r="E1528" s="509">
        <v>308753</v>
      </c>
      <c r="F1528" s="509"/>
      <c r="G1528" s="509"/>
      <c r="H1528" s="509"/>
      <c r="I1528" s="509"/>
      <c r="J1528" s="508" t="s">
        <v>412</v>
      </c>
    </row>
    <row r="1529" spans="1:10" ht="21" customHeight="1">
      <c r="A1529" s="507" t="s">
        <v>931</v>
      </c>
      <c r="B1529" s="508" t="s">
        <v>781</v>
      </c>
      <c r="C1529" s="508" t="s">
        <v>397</v>
      </c>
      <c r="D1529" s="509"/>
      <c r="E1529" s="509">
        <v>244918</v>
      </c>
      <c r="F1529" s="509"/>
      <c r="G1529" s="509"/>
      <c r="H1529" s="509"/>
      <c r="I1529" s="509"/>
      <c r="J1529" s="508" t="s">
        <v>1107</v>
      </c>
    </row>
    <row r="1530" spans="1:10" ht="21" customHeight="1">
      <c r="A1530" s="507" t="s">
        <v>931</v>
      </c>
      <c r="B1530" s="508" t="s">
        <v>782</v>
      </c>
      <c r="C1530" s="508" t="s">
        <v>397</v>
      </c>
      <c r="D1530" s="509"/>
      <c r="E1530" s="509">
        <v>0</v>
      </c>
      <c r="F1530" s="509"/>
      <c r="G1530" s="509"/>
      <c r="H1530" s="509"/>
      <c r="I1530" s="509"/>
      <c r="J1530" s="508" t="s">
        <v>1107</v>
      </c>
    </row>
    <row r="1531" spans="1:10" ht="21" customHeight="1">
      <c r="A1531" s="507" t="s">
        <v>931</v>
      </c>
      <c r="B1531" s="508" t="s">
        <v>501</v>
      </c>
      <c r="C1531" s="508" t="s">
        <v>397</v>
      </c>
      <c r="D1531" s="509"/>
      <c r="E1531" s="509"/>
      <c r="F1531" s="509">
        <v>0</v>
      </c>
      <c r="G1531" s="509"/>
      <c r="H1531" s="509"/>
      <c r="I1531" s="509"/>
      <c r="J1531" s="508" t="s">
        <v>679</v>
      </c>
    </row>
    <row r="1532" spans="1:10" ht="21" customHeight="1">
      <c r="A1532" s="507" t="s">
        <v>931</v>
      </c>
      <c r="B1532" s="508" t="s">
        <v>502</v>
      </c>
      <c r="C1532" s="508" t="s">
        <v>397</v>
      </c>
      <c r="D1532" s="509"/>
      <c r="E1532" s="509"/>
      <c r="F1532" s="509">
        <v>0</v>
      </c>
      <c r="G1532" s="509"/>
      <c r="H1532" s="509"/>
      <c r="I1532" s="509"/>
      <c r="J1532" s="508" t="s">
        <v>679</v>
      </c>
    </row>
    <row r="1533" spans="1:10" ht="21" customHeight="1">
      <c r="A1533" s="507" t="s">
        <v>931</v>
      </c>
      <c r="B1533" s="508" t="s">
        <v>503</v>
      </c>
      <c r="C1533" s="508" t="s">
        <v>397</v>
      </c>
      <c r="D1533" s="509"/>
      <c r="E1533" s="509"/>
      <c r="F1533" s="509">
        <v>374127</v>
      </c>
      <c r="G1533" s="509"/>
      <c r="H1533" s="509"/>
      <c r="I1533" s="509"/>
      <c r="J1533" s="508" t="s">
        <v>679</v>
      </c>
    </row>
    <row r="1534" spans="1:10" ht="21" customHeight="1">
      <c r="A1534" s="507" t="s">
        <v>931</v>
      </c>
      <c r="B1534" s="508" t="s">
        <v>504</v>
      </c>
      <c r="C1534" s="508" t="s">
        <v>397</v>
      </c>
      <c r="D1534" s="509"/>
      <c r="E1534" s="509"/>
      <c r="F1534" s="509">
        <v>474757</v>
      </c>
      <c r="G1534" s="509"/>
      <c r="H1534" s="509"/>
      <c r="I1534" s="509"/>
      <c r="J1534" s="508" t="s">
        <v>679</v>
      </c>
    </row>
    <row r="1535" spans="1:10" ht="21" customHeight="1">
      <c r="A1535" s="507" t="s">
        <v>931</v>
      </c>
      <c r="B1535" s="508" t="s">
        <v>789</v>
      </c>
      <c r="C1535" s="508" t="s">
        <v>397</v>
      </c>
      <c r="D1535" s="509"/>
      <c r="E1535" s="509"/>
      <c r="F1535" s="509">
        <v>303954</v>
      </c>
      <c r="G1535" s="509"/>
      <c r="H1535" s="509"/>
      <c r="I1535" s="509"/>
      <c r="J1535" s="508" t="s">
        <v>679</v>
      </c>
    </row>
    <row r="1536" spans="1:10" ht="21" customHeight="1">
      <c r="A1536" s="507" t="s">
        <v>931</v>
      </c>
      <c r="B1536" s="508" t="s">
        <v>790</v>
      </c>
      <c r="C1536" s="508" t="s">
        <v>397</v>
      </c>
      <c r="D1536" s="509"/>
      <c r="E1536" s="509"/>
      <c r="F1536" s="509">
        <v>477785</v>
      </c>
      <c r="G1536" s="509"/>
      <c r="H1536" s="509"/>
      <c r="I1536" s="509"/>
      <c r="J1536" s="508" t="s">
        <v>679</v>
      </c>
    </row>
    <row r="1537" spans="1:10" ht="21" customHeight="1">
      <c r="A1537" s="507" t="s">
        <v>931</v>
      </c>
      <c r="B1537" s="508" t="s">
        <v>505</v>
      </c>
      <c r="C1537" s="508" t="s">
        <v>397</v>
      </c>
      <c r="D1537" s="509"/>
      <c r="E1537" s="509"/>
      <c r="F1537" s="509"/>
      <c r="G1537" s="509">
        <v>0</v>
      </c>
      <c r="H1537" s="509"/>
      <c r="I1537" s="509"/>
      <c r="J1537" s="508" t="s">
        <v>987</v>
      </c>
    </row>
    <row r="1538" spans="1:10" ht="21" customHeight="1">
      <c r="A1538" s="507" t="s">
        <v>931</v>
      </c>
      <c r="B1538" s="508" t="s">
        <v>506</v>
      </c>
      <c r="C1538" s="508" t="s">
        <v>397</v>
      </c>
      <c r="D1538" s="509"/>
      <c r="E1538" s="509"/>
      <c r="F1538" s="509"/>
      <c r="G1538" s="509">
        <v>40010</v>
      </c>
      <c r="H1538" s="509"/>
      <c r="I1538" s="509"/>
      <c r="J1538" s="508" t="s">
        <v>987</v>
      </c>
    </row>
    <row r="1539" spans="1:10" ht="21" customHeight="1">
      <c r="A1539" s="507" t="s">
        <v>931</v>
      </c>
      <c r="B1539" s="508" t="s">
        <v>507</v>
      </c>
      <c r="C1539" s="508" t="s">
        <v>397</v>
      </c>
      <c r="D1539" s="509"/>
      <c r="E1539" s="509"/>
      <c r="F1539" s="509"/>
      <c r="G1539" s="509">
        <v>198062</v>
      </c>
      <c r="H1539" s="509"/>
      <c r="I1539" s="509"/>
      <c r="J1539" s="508" t="s">
        <v>987</v>
      </c>
    </row>
    <row r="1540" spans="1:10" ht="21" customHeight="1">
      <c r="A1540" s="507" t="s">
        <v>931</v>
      </c>
      <c r="B1540" s="508" t="s">
        <v>508</v>
      </c>
      <c r="C1540" s="508" t="s">
        <v>397</v>
      </c>
      <c r="D1540" s="509"/>
      <c r="E1540" s="509"/>
      <c r="F1540" s="509"/>
      <c r="G1540" s="509">
        <v>523397</v>
      </c>
      <c r="H1540" s="509"/>
      <c r="I1540" s="509"/>
      <c r="J1540" s="508" t="s">
        <v>987</v>
      </c>
    </row>
    <row r="1541" spans="1:10" ht="21" customHeight="1">
      <c r="A1541" s="507" t="s">
        <v>931</v>
      </c>
      <c r="B1541" s="508" t="s">
        <v>796</v>
      </c>
      <c r="C1541" s="508" t="s">
        <v>397</v>
      </c>
      <c r="D1541" s="509"/>
      <c r="E1541" s="509"/>
      <c r="F1541" s="509"/>
      <c r="G1541" s="509">
        <v>501467</v>
      </c>
      <c r="H1541" s="509"/>
      <c r="I1541" s="509"/>
      <c r="J1541" s="508" t="s">
        <v>1108</v>
      </c>
    </row>
    <row r="1542" spans="1:10" ht="21" customHeight="1">
      <c r="A1542" s="507" t="s">
        <v>931</v>
      </c>
      <c r="B1542" s="508" t="s">
        <v>797</v>
      </c>
      <c r="C1542" s="508" t="s">
        <v>397</v>
      </c>
      <c r="D1542" s="509"/>
      <c r="E1542" s="509"/>
      <c r="F1542" s="509"/>
      <c r="G1542" s="509">
        <v>1033173</v>
      </c>
      <c r="H1542" s="509"/>
      <c r="I1542" s="509"/>
      <c r="J1542" s="508" t="s">
        <v>1108</v>
      </c>
    </row>
    <row r="1543" spans="1:10" ht="21" customHeight="1">
      <c r="A1543" s="507" t="s">
        <v>931</v>
      </c>
      <c r="B1543" s="508" t="s">
        <v>509</v>
      </c>
      <c r="C1543" s="508" t="s">
        <v>397</v>
      </c>
      <c r="D1543" s="509"/>
      <c r="E1543" s="509"/>
      <c r="F1543" s="509"/>
      <c r="G1543" s="509"/>
      <c r="H1543" s="509">
        <v>0</v>
      </c>
      <c r="I1543" s="509"/>
      <c r="J1543" s="508" t="s">
        <v>1002</v>
      </c>
    </row>
    <row r="1544" spans="1:10" ht="21" customHeight="1">
      <c r="A1544" s="507" t="s">
        <v>931</v>
      </c>
      <c r="B1544" s="508" t="s">
        <v>510</v>
      </c>
      <c r="C1544" s="508" t="s">
        <v>397</v>
      </c>
      <c r="D1544" s="509"/>
      <c r="E1544" s="509"/>
      <c r="F1544" s="509"/>
      <c r="G1544" s="509"/>
      <c r="H1544" s="509">
        <v>272996</v>
      </c>
      <c r="I1544" s="509"/>
      <c r="J1544" s="508" t="s">
        <v>1002</v>
      </c>
    </row>
    <row r="1545" spans="1:10" ht="21" customHeight="1">
      <c r="A1545" s="507" t="s">
        <v>931</v>
      </c>
      <c r="B1545" s="508" t="s">
        <v>511</v>
      </c>
      <c r="C1545" s="508" t="s">
        <v>397</v>
      </c>
      <c r="D1545" s="509"/>
      <c r="E1545" s="509"/>
      <c r="F1545" s="509"/>
      <c r="G1545" s="509"/>
      <c r="H1545" s="509">
        <v>191925</v>
      </c>
      <c r="I1545" s="509"/>
      <c r="J1545" s="508" t="s">
        <v>1002</v>
      </c>
    </row>
    <row r="1546" spans="1:10" ht="21" customHeight="1">
      <c r="A1546" s="507" t="s">
        <v>931</v>
      </c>
      <c r="B1546" s="508" t="s">
        <v>512</v>
      </c>
      <c r="C1546" s="508" t="s">
        <v>397</v>
      </c>
      <c r="D1546" s="509"/>
      <c r="E1546" s="509"/>
      <c r="F1546" s="509"/>
      <c r="G1546" s="509"/>
      <c r="H1546" s="509">
        <v>185405</v>
      </c>
      <c r="I1546" s="509"/>
      <c r="J1546" s="508" t="s">
        <v>1002</v>
      </c>
    </row>
    <row r="1547" spans="1:10" ht="21" customHeight="1">
      <c r="A1547" s="507" t="s">
        <v>931</v>
      </c>
      <c r="B1547" s="508" t="s">
        <v>805</v>
      </c>
      <c r="C1547" s="508" t="s">
        <v>397</v>
      </c>
      <c r="D1547" s="509"/>
      <c r="E1547" s="509"/>
      <c r="F1547" s="509"/>
      <c r="G1547" s="509"/>
      <c r="H1547" s="509">
        <v>353175</v>
      </c>
      <c r="I1547" s="509"/>
      <c r="J1547" s="508" t="s">
        <v>1002</v>
      </c>
    </row>
    <row r="1548" spans="1:10" ht="21" customHeight="1">
      <c r="A1548" s="507" t="s">
        <v>931</v>
      </c>
      <c r="B1548" s="508" t="s">
        <v>806</v>
      </c>
      <c r="C1548" s="508" t="s">
        <v>397</v>
      </c>
      <c r="D1548" s="509"/>
      <c r="E1548" s="509"/>
      <c r="F1548" s="509"/>
      <c r="G1548" s="509"/>
      <c r="H1548" s="509">
        <v>963913</v>
      </c>
      <c r="I1548" s="509"/>
      <c r="J1548" s="508" t="s">
        <v>1002</v>
      </c>
    </row>
    <row r="1549" spans="1:10" ht="21" customHeight="1">
      <c r="A1549" s="507" t="s">
        <v>931</v>
      </c>
      <c r="B1549" s="508" t="s">
        <v>513</v>
      </c>
      <c r="C1549" s="508" t="s">
        <v>397</v>
      </c>
      <c r="D1549" s="509"/>
      <c r="E1549" s="509"/>
      <c r="F1549" s="509"/>
      <c r="G1549" s="509"/>
      <c r="H1549" s="509"/>
      <c r="I1549" s="509">
        <f>Turbinas!B29</f>
        <v>1707</v>
      </c>
      <c r="J1549" s="508" t="s">
        <v>1017</v>
      </c>
    </row>
    <row r="1550" spans="1:10" ht="21" customHeight="1">
      <c r="A1550" s="507" t="s">
        <v>931</v>
      </c>
      <c r="B1550" s="508" t="s">
        <v>514</v>
      </c>
      <c r="C1550" s="508" t="s">
        <v>397</v>
      </c>
      <c r="D1550" s="509"/>
      <c r="E1550" s="509"/>
      <c r="F1550" s="509"/>
      <c r="G1550" s="509"/>
      <c r="H1550" s="509"/>
      <c r="I1550" s="509">
        <f>Turbinas!C29</f>
        <v>281873</v>
      </c>
      <c r="J1550" s="508" t="s">
        <v>1017</v>
      </c>
    </row>
    <row r="1551" spans="1:10" ht="21" customHeight="1">
      <c r="A1551" s="507" t="s">
        <v>931</v>
      </c>
      <c r="B1551" s="508" t="s">
        <v>515</v>
      </c>
      <c r="C1551" s="508" t="s">
        <v>397</v>
      </c>
      <c r="D1551" s="509"/>
      <c r="E1551" s="509"/>
      <c r="F1551" s="509"/>
      <c r="G1551" s="509"/>
      <c r="H1551" s="509"/>
      <c r="I1551" s="509">
        <f>Turbinas!D29</f>
        <v>705278</v>
      </c>
      <c r="J1551" s="508" t="s">
        <v>1017</v>
      </c>
    </row>
    <row r="1552" spans="1:10" ht="21" customHeight="1">
      <c r="A1552" s="507" t="s">
        <v>931</v>
      </c>
      <c r="B1552" s="508" t="s">
        <v>516</v>
      </c>
      <c r="C1552" s="508" t="s">
        <v>397</v>
      </c>
      <c r="D1552" s="509"/>
      <c r="E1552" s="509"/>
      <c r="F1552" s="509"/>
      <c r="G1552" s="509"/>
      <c r="H1552" s="509"/>
      <c r="I1552" s="509">
        <f>Turbinas!E29</f>
        <v>118998</v>
      </c>
      <c r="J1552" s="508" t="s">
        <v>1017</v>
      </c>
    </row>
    <row r="1553" spans="1:10" ht="21" customHeight="1">
      <c r="A1553" s="507" t="s">
        <v>931</v>
      </c>
      <c r="B1553" s="508" t="s">
        <v>537</v>
      </c>
      <c r="C1553" s="508" t="s">
        <v>397</v>
      </c>
      <c r="D1553" s="509"/>
      <c r="E1553" s="509"/>
      <c r="F1553" s="509"/>
      <c r="G1553" s="509"/>
      <c r="H1553" s="509"/>
      <c r="I1553" s="509">
        <f>Turbinas!I29</f>
        <v>263982</v>
      </c>
      <c r="J1553" s="508" t="s">
        <v>1017</v>
      </c>
    </row>
    <row r="1554" spans="1:10" ht="21" customHeight="1">
      <c r="A1554" s="507" t="s">
        <v>931</v>
      </c>
      <c r="B1554" s="508" t="s">
        <v>1109</v>
      </c>
      <c r="C1554" s="508" t="s">
        <v>397</v>
      </c>
      <c r="D1554" s="509"/>
      <c r="E1554" s="509"/>
      <c r="F1554" s="509"/>
      <c r="G1554" s="509"/>
      <c r="H1554" s="509"/>
      <c r="I1554" s="509">
        <f>Turbinas!J29</f>
        <v>1011286</v>
      </c>
      <c r="J1554" s="508" t="s">
        <v>1017</v>
      </c>
    </row>
    <row r="1555" spans="1:10" ht="21" customHeight="1">
      <c r="A1555" s="507" t="s">
        <v>931</v>
      </c>
      <c r="B1555" s="508" t="s">
        <v>1110</v>
      </c>
      <c r="C1555" s="508" t="s">
        <v>674</v>
      </c>
      <c r="D1555" s="509"/>
      <c r="E1555" s="509"/>
      <c r="F1555" s="509"/>
      <c r="G1555" s="509"/>
      <c r="H1555" s="509"/>
      <c r="I1555" s="509"/>
      <c r="J1555" s="508" t="s">
        <v>1033</v>
      </c>
    </row>
    <row r="1556" spans="1:10" ht="21" customHeight="1">
      <c r="A1556" s="507" t="s">
        <v>931</v>
      </c>
      <c r="B1556" s="508" t="s">
        <v>1111</v>
      </c>
      <c r="C1556" s="508" t="s">
        <v>674</v>
      </c>
      <c r="D1556" s="509"/>
      <c r="E1556" s="509"/>
      <c r="F1556" s="509"/>
      <c r="G1556" s="509"/>
      <c r="H1556" s="509"/>
      <c r="I1556" s="509"/>
      <c r="J1556" s="508" t="s">
        <v>1033</v>
      </c>
    </row>
    <row r="1557" spans="1:10" ht="21" customHeight="1">
      <c r="A1557" s="507" t="s">
        <v>931</v>
      </c>
      <c r="B1557" s="508" t="s">
        <v>1112</v>
      </c>
      <c r="C1557" s="508" t="s">
        <v>674</v>
      </c>
      <c r="D1557" s="509"/>
      <c r="E1557" s="509"/>
      <c r="F1557" s="509"/>
      <c r="G1557" s="509"/>
      <c r="H1557" s="509"/>
      <c r="I1557" s="509"/>
      <c r="J1557" s="508" t="s">
        <v>1044</v>
      </c>
    </row>
    <row r="1558" spans="1:10" ht="21" customHeight="1">
      <c r="A1558" s="507" t="s">
        <v>931</v>
      </c>
      <c r="B1558" s="508" t="s">
        <v>1113</v>
      </c>
      <c r="C1558" s="508" t="s">
        <v>674</v>
      </c>
      <c r="D1558" s="509"/>
      <c r="E1558" s="509"/>
      <c r="F1558" s="509"/>
      <c r="G1558" s="509"/>
      <c r="H1558" s="509"/>
      <c r="I1558" s="509"/>
      <c r="J1558" s="508" t="s">
        <v>1044</v>
      </c>
    </row>
    <row r="1559" spans="1:10" ht="21" customHeight="1">
      <c r="A1559" s="507" t="s">
        <v>931</v>
      </c>
      <c r="B1559" s="508" t="s">
        <v>1114</v>
      </c>
      <c r="C1559" s="508" t="s">
        <v>674</v>
      </c>
      <c r="D1559" s="509"/>
      <c r="E1559" s="509"/>
      <c r="F1559" s="509"/>
      <c r="G1559" s="509"/>
      <c r="H1559" s="509"/>
      <c r="I1559" s="509"/>
      <c r="J1559" s="508" t="s">
        <v>1056</v>
      </c>
    </row>
    <row r="1560" spans="1:10" ht="21" customHeight="1">
      <c r="A1560" s="507" t="s">
        <v>931</v>
      </c>
      <c r="B1560" s="508" t="s">
        <v>903</v>
      </c>
      <c r="C1560" s="508" t="s">
        <v>674</v>
      </c>
      <c r="D1560" s="509"/>
      <c r="E1560" s="509"/>
      <c r="F1560" s="509"/>
      <c r="G1560" s="509"/>
      <c r="H1560" s="509"/>
      <c r="I1560" s="509"/>
      <c r="J1560" s="508" t="s">
        <v>1056</v>
      </c>
    </row>
    <row r="1561" spans="1:10" ht="21" customHeight="1">
      <c r="A1561" s="507" t="s">
        <v>931</v>
      </c>
      <c r="B1561" s="508" t="s">
        <v>1115</v>
      </c>
      <c r="C1561" s="508" t="s">
        <v>674</v>
      </c>
      <c r="D1561" s="509"/>
      <c r="E1561" s="509"/>
      <c r="F1561" s="509"/>
      <c r="G1561" s="509"/>
      <c r="H1561" s="509"/>
      <c r="I1561" s="509"/>
      <c r="J1561" s="508" t="s">
        <v>1068</v>
      </c>
    </row>
    <row r="1562" spans="1:10" ht="21" customHeight="1">
      <c r="A1562" s="507" t="s">
        <v>931</v>
      </c>
      <c r="B1562" s="508" t="s">
        <v>1116</v>
      </c>
      <c r="C1562" s="508" t="s">
        <v>674</v>
      </c>
      <c r="D1562" s="509"/>
      <c r="E1562" s="509"/>
      <c r="F1562" s="509"/>
      <c r="G1562" s="509"/>
      <c r="H1562" s="509"/>
      <c r="I1562" s="509"/>
      <c r="J1562" s="508" t="s">
        <v>1068</v>
      </c>
    </row>
    <row r="1563" spans="1:10" ht="21" customHeight="1">
      <c r="A1563" s="507" t="s">
        <v>931</v>
      </c>
      <c r="B1563" s="508" t="s">
        <v>1117</v>
      </c>
      <c r="C1563" s="508" t="s">
        <v>674</v>
      </c>
      <c r="D1563" s="509"/>
      <c r="E1563" s="509"/>
      <c r="F1563" s="509"/>
      <c r="G1563" s="509"/>
      <c r="H1563" s="509"/>
      <c r="I1563" s="509"/>
      <c r="J1563" s="508" t="s">
        <v>1081</v>
      </c>
    </row>
    <row r="1564" spans="1:10" ht="21" customHeight="1">
      <c r="A1564" s="507" t="s">
        <v>931</v>
      </c>
      <c r="B1564" s="508" t="s">
        <v>1118</v>
      </c>
      <c r="C1564" s="508" t="s">
        <v>674</v>
      </c>
      <c r="D1564" s="509"/>
      <c r="E1564" s="509"/>
      <c r="F1564" s="509"/>
      <c r="G1564" s="509"/>
      <c r="H1564" s="509"/>
      <c r="I1564" s="509"/>
      <c r="J1564" s="508" t="s">
        <v>1081</v>
      </c>
    </row>
    <row r="1565" spans="1:10" ht="21" customHeight="1">
      <c r="A1565" s="507" t="s">
        <v>931</v>
      </c>
      <c r="B1565" s="508" t="s">
        <v>1119</v>
      </c>
      <c r="C1565" s="508" t="s">
        <v>674</v>
      </c>
      <c r="D1565" s="509"/>
      <c r="E1565" s="509"/>
      <c r="F1565" s="509"/>
      <c r="G1565" s="509"/>
      <c r="H1565" s="509"/>
      <c r="I1565" s="509"/>
      <c r="J1565" s="508" t="s">
        <v>1094</v>
      </c>
    </row>
    <row r="1566" spans="1:10" ht="21" customHeight="1">
      <c r="A1566" s="507" t="s">
        <v>931</v>
      </c>
      <c r="B1566" s="508" t="s">
        <v>1120</v>
      </c>
      <c r="C1566" s="508" t="s">
        <v>674</v>
      </c>
      <c r="D1566" s="509"/>
      <c r="E1566" s="509"/>
      <c r="F1566" s="509"/>
      <c r="G1566" s="509"/>
      <c r="H1566" s="509"/>
      <c r="I1566" s="509"/>
      <c r="J1566" s="508" t="s">
        <v>1094</v>
      </c>
    </row>
    <row r="1567" spans="1:10" ht="21" customHeight="1">
      <c r="A1567" s="507" t="s">
        <v>931</v>
      </c>
      <c r="B1567" s="508" t="s">
        <v>1121</v>
      </c>
      <c r="C1567" s="508" t="s">
        <v>411</v>
      </c>
      <c r="D1567" s="509"/>
      <c r="E1567" s="509"/>
      <c r="F1567" s="509"/>
      <c r="G1567" s="509"/>
      <c r="H1567" s="509">
        <f>SUM($H$1523,$H$1529,$H$1535,$H$1541,$H$1547,$H$1553,$H$1555,$H$1557,$H$1559,$H$1561,$H$1563,$H$1565)</f>
        <v>353175</v>
      </c>
      <c r="I1567" s="509"/>
      <c r="J1567" s="508" t="s">
        <v>20</v>
      </c>
    </row>
    <row r="1568" spans="1:10" ht="21" customHeight="1">
      <c r="A1568" s="507" t="s">
        <v>931</v>
      </c>
      <c r="B1568" s="508" t="s">
        <v>1122</v>
      </c>
      <c r="C1568" s="508" t="s">
        <v>411</v>
      </c>
      <c r="D1568" s="509"/>
      <c r="E1568" s="509"/>
      <c r="F1568" s="509"/>
      <c r="G1568" s="509"/>
      <c r="H1568" s="509">
        <f>SUM($H$1524,$H$1530,$H$1536,$H$1542,$H$1548,$H$1554,$H$1556,$H$1558,$H$1560,$H$1562,$H$1564,$H$1566)</f>
        <v>963913</v>
      </c>
      <c r="I1568" s="509"/>
      <c r="J1568" s="508" t="s">
        <v>20</v>
      </c>
    </row>
    <row r="1569" spans="1:10" ht="21" customHeight="1">
      <c r="A1569" s="507" t="s">
        <v>931</v>
      </c>
      <c r="B1569" s="508" t="s">
        <v>1123</v>
      </c>
      <c r="C1569" s="508" t="s">
        <v>411</v>
      </c>
      <c r="D1569" s="509"/>
      <c r="E1569" s="509"/>
      <c r="F1569" s="509"/>
      <c r="G1569" s="509"/>
      <c r="H1569" s="509">
        <f>$H$1567</f>
        <v>353175</v>
      </c>
      <c r="I1569" s="509"/>
      <c r="J1569" s="508" t="s">
        <v>295</v>
      </c>
    </row>
    <row r="1570" spans="1:10" ht="21" customHeight="1">
      <c r="A1570" s="507" t="s">
        <v>931</v>
      </c>
      <c r="B1570" s="508" t="s">
        <v>1124</v>
      </c>
      <c r="C1570" s="508" t="s">
        <v>411</v>
      </c>
      <c r="D1570" s="509"/>
      <c r="E1570" s="509"/>
      <c r="F1570" s="509"/>
      <c r="G1570" s="509"/>
      <c r="H1570" s="509">
        <f>$H$1568</f>
        <v>963913</v>
      </c>
      <c r="I1570" s="509"/>
      <c r="J1570" s="508" t="s">
        <v>295</v>
      </c>
    </row>
    <row r="1571" spans="1:10" ht="21" customHeight="1">
      <c r="A1571" s="510" t="s">
        <v>1125</v>
      </c>
      <c r="B1571" s="506"/>
      <c r="C1571" s="506"/>
      <c r="D1571" s="511"/>
      <c r="E1571" s="511"/>
      <c r="F1571" s="511"/>
      <c r="G1571" s="511"/>
      <c r="H1571" s="511"/>
      <c r="I1571" s="512"/>
      <c r="J1571" s="506"/>
    </row>
    <row r="1572" spans="1:10" ht="21" customHeight="1">
      <c r="A1572" s="507" t="s">
        <v>1125</v>
      </c>
      <c r="B1572" s="508" t="s">
        <v>1126</v>
      </c>
      <c r="C1572" s="508" t="s">
        <v>397</v>
      </c>
      <c r="D1572" s="509">
        <v>12</v>
      </c>
      <c r="E1572" s="509"/>
      <c r="F1572" s="509"/>
      <c r="G1572" s="509"/>
      <c r="H1572" s="509"/>
      <c r="I1572" s="509"/>
      <c r="J1572" s="508" t="s">
        <v>308</v>
      </c>
    </row>
    <row r="1573" spans="1:10" ht="21" customHeight="1">
      <c r="A1573" s="507" t="s">
        <v>1125</v>
      </c>
      <c r="B1573" s="508" t="s">
        <v>1127</v>
      </c>
      <c r="C1573" s="508" t="s">
        <v>397</v>
      </c>
      <c r="D1573" s="509">
        <v>0</v>
      </c>
      <c r="E1573" s="509"/>
      <c r="F1573" s="509"/>
      <c r="G1573" s="509"/>
      <c r="H1573" s="509"/>
      <c r="I1573" s="509"/>
      <c r="J1573" s="508" t="s">
        <v>308</v>
      </c>
    </row>
    <row r="1574" spans="1:10" ht="21" customHeight="1">
      <c r="A1574" s="507" t="s">
        <v>1125</v>
      </c>
      <c r="B1574" s="508" t="s">
        <v>934</v>
      </c>
      <c r="C1574" s="508" t="s">
        <v>397</v>
      </c>
      <c r="D1574" s="509"/>
      <c r="E1574" s="509">
        <v>14</v>
      </c>
      <c r="F1574" s="509"/>
      <c r="G1574" s="509"/>
      <c r="H1574" s="509"/>
      <c r="I1574" s="509"/>
      <c r="J1574" s="508" t="s">
        <v>309</v>
      </c>
    </row>
    <row r="1575" spans="1:10" ht="21" customHeight="1">
      <c r="A1575" s="507" t="s">
        <v>1125</v>
      </c>
      <c r="B1575" s="508" t="s">
        <v>935</v>
      </c>
      <c r="C1575" s="508" t="s">
        <v>397</v>
      </c>
      <c r="D1575" s="509"/>
      <c r="E1575" s="509">
        <v>0</v>
      </c>
      <c r="F1575" s="509"/>
      <c r="G1575" s="509"/>
      <c r="H1575" s="509"/>
      <c r="I1575" s="509"/>
      <c r="J1575" s="508" t="s">
        <v>309</v>
      </c>
    </row>
    <row r="1576" spans="1:10" ht="21" customHeight="1">
      <c r="A1576" s="507" t="s">
        <v>1125</v>
      </c>
      <c r="B1576" s="508" t="s">
        <v>946</v>
      </c>
      <c r="C1576" s="508" t="s">
        <v>397</v>
      </c>
      <c r="D1576" s="509"/>
      <c r="E1576" s="509"/>
      <c r="F1576" s="509">
        <v>12</v>
      </c>
      <c r="G1576" s="509"/>
      <c r="H1576" s="509"/>
      <c r="I1576" s="509"/>
      <c r="J1576" s="508" t="s">
        <v>311</v>
      </c>
    </row>
    <row r="1577" spans="1:10" ht="21" customHeight="1">
      <c r="A1577" s="507" t="s">
        <v>1125</v>
      </c>
      <c r="B1577" s="508" t="s">
        <v>947</v>
      </c>
      <c r="C1577" s="508" t="s">
        <v>397</v>
      </c>
      <c r="D1577" s="509"/>
      <c r="E1577" s="509"/>
      <c r="F1577" s="509">
        <v>17</v>
      </c>
      <c r="G1577" s="509"/>
      <c r="H1577" s="509"/>
      <c r="I1577" s="509"/>
      <c r="J1577" s="508" t="s">
        <v>311</v>
      </c>
    </row>
    <row r="1578" spans="1:10" ht="21" customHeight="1">
      <c r="A1578" s="507" t="s">
        <v>1125</v>
      </c>
      <c r="B1578" s="508" t="s">
        <v>960</v>
      </c>
      <c r="C1578" s="508" t="s">
        <v>674</v>
      </c>
      <c r="D1578" s="509"/>
      <c r="E1578" s="509"/>
      <c r="F1578" s="509"/>
      <c r="G1578" s="509"/>
      <c r="H1578" s="509"/>
      <c r="I1578" s="509"/>
      <c r="J1578" s="508" t="s">
        <v>14</v>
      </c>
    </row>
    <row r="1579" spans="1:10" ht="21" customHeight="1">
      <c r="A1579" s="507" t="s">
        <v>1125</v>
      </c>
      <c r="B1579" s="508" t="s">
        <v>961</v>
      </c>
      <c r="C1579" s="508" t="s">
        <v>674</v>
      </c>
      <c r="D1579" s="509"/>
      <c r="E1579" s="509"/>
      <c r="F1579" s="509"/>
      <c r="G1579" s="509"/>
      <c r="H1579" s="509"/>
      <c r="I1579" s="509"/>
      <c r="J1579" s="508" t="s">
        <v>14</v>
      </c>
    </row>
    <row r="1580" spans="1:10" ht="21" customHeight="1">
      <c r="A1580" s="507" t="s">
        <v>1125</v>
      </c>
      <c r="B1580" s="508" t="s">
        <v>974</v>
      </c>
      <c r="C1580" s="508" t="s">
        <v>397</v>
      </c>
      <c r="D1580" s="509"/>
      <c r="E1580" s="509"/>
      <c r="F1580" s="509"/>
      <c r="G1580" s="509"/>
      <c r="H1580" s="509">
        <v>23</v>
      </c>
      <c r="I1580" s="509">
        <f>'Cálculos Cambalache (60%)'!AC8</f>
        <v>11</v>
      </c>
      <c r="J1580" s="508" t="s">
        <v>314</v>
      </c>
    </row>
    <row r="1581" spans="1:10" ht="21" customHeight="1">
      <c r="A1581" s="507" t="s">
        <v>1125</v>
      </c>
      <c r="B1581" s="508" t="s">
        <v>975</v>
      </c>
      <c r="C1581" s="508" t="s">
        <v>397</v>
      </c>
      <c r="D1581" s="509"/>
      <c r="E1581" s="509"/>
      <c r="F1581" s="509"/>
      <c r="G1581" s="509"/>
      <c r="H1581" s="509">
        <v>83</v>
      </c>
      <c r="I1581" s="509">
        <f>'Cálculos Cambalache (60%)'!AD8</f>
        <v>47</v>
      </c>
      <c r="J1581" s="508" t="s">
        <v>314</v>
      </c>
    </row>
    <row r="1582" spans="1:10" ht="21" customHeight="1">
      <c r="A1582" s="507" t="s">
        <v>1125</v>
      </c>
      <c r="B1582" s="508" t="s">
        <v>989</v>
      </c>
      <c r="C1582" s="508" t="s">
        <v>674</v>
      </c>
      <c r="D1582" s="509"/>
      <c r="E1582" s="509"/>
      <c r="F1582" s="509"/>
      <c r="G1582" s="509"/>
      <c r="H1582" s="509"/>
      <c r="I1582" s="509"/>
      <c r="J1582" s="508" t="s">
        <v>15</v>
      </c>
    </row>
    <row r="1583" spans="1:10" ht="21" customHeight="1">
      <c r="A1583" s="507" t="s">
        <v>1125</v>
      </c>
      <c r="B1583" s="508" t="s">
        <v>990</v>
      </c>
      <c r="C1583" s="508" t="s">
        <v>674</v>
      </c>
      <c r="D1583" s="509"/>
      <c r="E1583" s="509"/>
      <c r="F1583" s="509"/>
      <c r="G1583" s="509"/>
      <c r="H1583" s="509"/>
      <c r="I1583" s="509"/>
      <c r="J1583" s="508" t="s">
        <v>15</v>
      </c>
    </row>
    <row r="1584" spans="1:10" ht="21" customHeight="1">
      <c r="A1584" s="507" t="s">
        <v>1125</v>
      </c>
      <c r="B1584" s="508" t="s">
        <v>1004</v>
      </c>
      <c r="C1584" s="508" t="s">
        <v>674</v>
      </c>
      <c r="D1584" s="509"/>
      <c r="E1584" s="509"/>
      <c r="F1584" s="509"/>
      <c r="G1584" s="509"/>
      <c r="H1584" s="509"/>
      <c r="I1584" s="509"/>
      <c r="J1584" s="508" t="s">
        <v>316</v>
      </c>
    </row>
    <row r="1585" spans="1:10" ht="21" customHeight="1">
      <c r="A1585" s="507" t="s">
        <v>1125</v>
      </c>
      <c r="B1585" s="508" t="s">
        <v>1005</v>
      </c>
      <c r="C1585" s="508" t="s">
        <v>674</v>
      </c>
      <c r="D1585" s="509"/>
      <c r="E1585" s="509"/>
      <c r="F1585" s="509"/>
      <c r="G1585" s="509"/>
      <c r="H1585" s="509"/>
      <c r="I1585" s="509"/>
      <c r="J1585" s="508" t="s">
        <v>316</v>
      </c>
    </row>
    <row r="1586" spans="1:10" ht="21" customHeight="1">
      <c r="A1586" s="507" t="s">
        <v>1125</v>
      </c>
      <c r="B1586" s="508" t="s">
        <v>1019</v>
      </c>
      <c r="C1586" s="508" t="s">
        <v>674</v>
      </c>
      <c r="D1586" s="509"/>
      <c r="E1586" s="509"/>
      <c r="F1586" s="509"/>
      <c r="G1586" s="509"/>
      <c r="H1586" s="509"/>
      <c r="I1586" s="509"/>
      <c r="J1586" s="508"/>
    </row>
    <row r="1587" spans="1:10" ht="21" customHeight="1">
      <c r="A1587" s="507" t="s">
        <v>1125</v>
      </c>
      <c r="B1587" s="508" t="s">
        <v>1020</v>
      </c>
      <c r="C1587" s="508" t="s">
        <v>674</v>
      </c>
      <c r="D1587" s="509"/>
      <c r="E1587" s="509"/>
      <c r="F1587" s="509"/>
      <c r="G1587" s="509"/>
      <c r="H1587" s="509"/>
      <c r="I1587" s="509"/>
      <c r="J1587" s="508"/>
    </row>
    <row r="1588" spans="1:10" ht="21" customHeight="1">
      <c r="A1588" s="507" t="s">
        <v>1125</v>
      </c>
      <c r="B1588" s="508" t="s">
        <v>1035</v>
      </c>
      <c r="C1588" s="508" t="s">
        <v>674</v>
      </c>
      <c r="D1588" s="509"/>
      <c r="E1588" s="509"/>
      <c r="F1588" s="509"/>
      <c r="G1588" s="509"/>
      <c r="H1588" s="509"/>
      <c r="I1588" s="509"/>
      <c r="J1588" s="508"/>
    </row>
    <row r="1589" spans="1:10" ht="21" customHeight="1">
      <c r="A1589" s="507" t="s">
        <v>1125</v>
      </c>
      <c r="B1589" s="508" t="s">
        <v>1036</v>
      </c>
      <c r="C1589" s="508" t="s">
        <v>674</v>
      </c>
      <c r="D1589" s="509"/>
      <c r="E1589" s="509"/>
      <c r="F1589" s="509"/>
      <c r="G1589" s="509"/>
      <c r="H1589" s="509"/>
      <c r="I1589" s="509"/>
      <c r="J1589" s="508"/>
    </row>
    <row r="1590" spans="1:10" ht="21" customHeight="1">
      <c r="A1590" s="507" t="s">
        <v>1125</v>
      </c>
      <c r="B1590" s="508" t="s">
        <v>1046</v>
      </c>
      <c r="C1590" s="508" t="s">
        <v>674</v>
      </c>
      <c r="D1590" s="509"/>
      <c r="E1590" s="509"/>
      <c r="F1590" s="509"/>
      <c r="G1590" s="509"/>
      <c r="H1590" s="509"/>
      <c r="I1590" s="509"/>
      <c r="J1590" s="508" t="s">
        <v>318</v>
      </c>
    </row>
    <row r="1591" spans="1:10" ht="21" customHeight="1">
      <c r="A1591" s="507" t="s">
        <v>1125</v>
      </c>
      <c r="B1591" s="508" t="s">
        <v>1047</v>
      </c>
      <c r="C1591" s="508" t="s">
        <v>674</v>
      </c>
      <c r="D1591" s="509"/>
      <c r="E1591" s="509"/>
      <c r="F1591" s="509"/>
      <c r="G1591" s="509"/>
      <c r="H1591" s="509"/>
      <c r="I1591" s="509"/>
      <c r="J1591" s="508" t="s">
        <v>318</v>
      </c>
    </row>
    <row r="1592" spans="1:10" ht="21" customHeight="1">
      <c r="A1592" s="507" t="s">
        <v>1125</v>
      </c>
      <c r="B1592" s="508" t="s">
        <v>469</v>
      </c>
      <c r="C1592" s="508" t="s">
        <v>411</v>
      </c>
      <c r="D1592" s="509"/>
      <c r="E1592" s="509">
        <f>SUM($E$1529)</f>
        <v>244918</v>
      </c>
      <c r="F1592" s="509">
        <f>SUM($F$1535)</f>
        <v>303954</v>
      </c>
      <c r="G1592" s="509"/>
      <c r="H1592" s="509">
        <f>SUM($H$1569)</f>
        <v>353175</v>
      </c>
      <c r="I1592" s="509">
        <f>SUM($I$1553)</f>
        <v>263982</v>
      </c>
      <c r="J1592" s="508" t="s">
        <v>318</v>
      </c>
    </row>
    <row r="1593" spans="1:10" ht="21" customHeight="1">
      <c r="A1593" s="507" t="s">
        <v>1125</v>
      </c>
      <c r="B1593" s="508" t="s">
        <v>1128</v>
      </c>
      <c r="C1593" s="508" t="s">
        <v>411</v>
      </c>
      <c r="D1593" s="509"/>
      <c r="E1593" s="509">
        <f>SUM($E$1530)</f>
        <v>0</v>
      </c>
      <c r="F1593" s="509">
        <f>SUM($F$1536)</f>
        <v>477785</v>
      </c>
      <c r="G1593" s="509"/>
      <c r="H1593" s="509">
        <f>SUM($H$1570)</f>
        <v>963913</v>
      </c>
      <c r="I1593" s="509">
        <f>SUM($I$1554)</f>
        <v>1011286</v>
      </c>
      <c r="J1593" s="508" t="s">
        <v>318</v>
      </c>
    </row>
    <row r="1594" spans="1:10" ht="21" customHeight="1">
      <c r="A1594" s="507" t="s">
        <v>1125</v>
      </c>
      <c r="B1594" s="508" t="s">
        <v>1058</v>
      </c>
      <c r="C1594" s="508" t="s">
        <v>674</v>
      </c>
      <c r="D1594" s="509"/>
      <c r="E1594" s="509"/>
      <c r="F1594" s="509"/>
      <c r="G1594" s="509"/>
      <c r="H1594" s="509"/>
      <c r="I1594" s="509"/>
      <c r="J1594" s="508" t="s">
        <v>84</v>
      </c>
    </row>
    <row r="1595" spans="1:10" ht="21" customHeight="1">
      <c r="A1595" s="507" t="s">
        <v>1125</v>
      </c>
      <c r="B1595" s="508" t="s">
        <v>1059</v>
      </c>
      <c r="C1595" s="508" t="s">
        <v>674</v>
      </c>
      <c r="D1595" s="509"/>
      <c r="E1595" s="509"/>
      <c r="F1595" s="509"/>
      <c r="G1595" s="509"/>
      <c r="H1595" s="509"/>
      <c r="I1595" s="509"/>
      <c r="J1595" s="508" t="s">
        <v>84</v>
      </c>
    </row>
    <row r="1596" spans="1:10" ht="21" customHeight="1">
      <c r="A1596" s="507" t="s">
        <v>1125</v>
      </c>
      <c r="B1596" s="508" t="s">
        <v>1070</v>
      </c>
      <c r="C1596" s="508" t="s">
        <v>674</v>
      </c>
      <c r="D1596" s="509"/>
      <c r="E1596" s="509"/>
      <c r="F1596" s="509"/>
      <c r="G1596" s="509"/>
      <c r="H1596" s="509"/>
      <c r="I1596" s="509"/>
      <c r="J1596" s="508" t="s">
        <v>319</v>
      </c>
    </row>
    <row r="1597" spans="1:10" ht="21" customHeight="1">
      <c r="A1597" s="507" t="s">
        <v>1125</v>
      </c>
      <c r="B1597" s="508" t="s">
        <v>1071</v>
      </c>
      <c r="C1597" s="508" t="s">
        <v>674</v>
      </c>
      <c r="D1597" s="509"/>
      <c r="E1597" s="509"/>
      <c r="F1597" s="509"/>
      <c r="G1597" s="509"/>
      <c r="H1597" s="509"/>
      <c r="I1597" s="509"/>
      <c r="J1597" s="508" t="s">
        <v>319</v>
      </c>
    </row>
    <row r="1598" spans="1:10" ht="21" customHeight="1">
      <c r="A1598" s="507" t="s">
        <v>1125</v>
      </c>
      <c r="B1598" s="508" t="s">
        <v>479</v>
      </c>
      <c r="C1598" s="508" t="s">
        <v>411</v>
      </c>
      <c r="D1598" s="509">
        <f>SUM($D$1652)</f>
        <v>6</v>
      </c>
      <c r="E1598" s="509">
        <f>SUM($E$1652)</f>
        <v>20</v>
      </c>
      <c r="F1598" s="509">
        <f>SUM($F$1652)</f>
        <v>26</v>
      </c>
      <c r="G1598" s="509"/>
      <c r="H1598" s="509">
        <f>SUM($H$1652)</f>
        <v>23</v>
      </c>
      <c r="I1598" s="509">
        <f>SUM($I$1652)</f>
        <v>29</v>
      </c>
      <c r="J1598" s="508" t="s">
        <v>319</v>
      </c>
    </row>
    <row r="1599" spans="1:10" ht="21" customHeight="1">
      <c r="A1599" s="507" t="s">
        <v>1125</v>
      </c>
      <c r="B1599" s="508" t="s">
        <v>1129</v>
      </c>
      <c r="C1599" s="508" t="s">
        <v>411</v>
      </c>
      <c r="D1599" s="509">
        <f>$D$1653</f>
        <v>0</v>
      </c>
      <c r="E1599" s="509">
        <f>SUM($E$1653)</f>
        <v>0</v>
      </c>
      <c r="F1599" s="509">
        <f>SUM($F$1653)</f>
        <v>40</v>
      </c>
      <c r="G1599" s="509"/>
      <c r="H1599" s="509">
        <f>SUM($H$1653)</f>
        <v>63</v>
      </c>
      <c r="I1599" s="509">
        <f>SUM($I$1653)</f>
        <v>114</v>
      </c>
      <c r="J1599" s="508" t="s">
        <v>319</v>
      </c>
    </row>
    <row r="1600" spans="1:10" ht="21" customHeight="1">
      <c r="A1600" s="507" t="s">
        <v>1125</v>
      </c>
      <c r="B1600" s="508" t="s">
        <v>1083</v>
      </c>
      <c r="C1600" s="508" t="s">
        <v>411</v>
      </c>
      <c r="D1600" s="509">
        <f>SUM($D$1572,$D$1574,$D$1576,$D$1578,$D$1580,$D$1582,$D$1584,$D$1586,$D$1588,$D$1590,$D$1594,$D$1596)</f>
        <v>12</v>
      </c>
      <c r="E1600" s="509">
        <f>SUM($E$1572,$E$1574,$E$1576,$E$1578,$E$1580,$E$1582,$E$1584,$E$1586,$E$1588,$E$1590,$E$1594,$E$1596)</f>
        <v>14</v>
      </c>
      <c r="F1600" s="509">
        <f>SUM($F$1572,$F$1574,$F$1576,$F$1578,$F$1580,$F$1582,$F$1584,$F$1586,$F$1588,$F$1590,$F$1594,$F$1596)</f>
        <v>12</v>
      </c>
      <c r="G1600" s="509"/>
      <c r="H1600" s="509">
        <f>SUM($H$1572,$H$1574,$H$1576,$H$1578,$H$1580,$H$1582,$H$1584,$H$1586,$H$1588,$H$1590,$H$1594,$H$1596)</f>
        <v>23</v>
      </c>
      <c r="I1600" s="509">
        <f>SUM($I$1572,$I$1574,$I$1576,$I$1578,$I$1580,$I$1582,$I$1584,$I$1586,$I$1588,$I$1590,$I$1594,$I$1596)</f>
        <v>11</v>
      </c>
      <c r="J1600" s="508" t="s">
        <v>321</v>
      </c>
    </row>
    <row r="1601" spans="1:10" ht="21" customHeight="1">
      <c r="A1601" s="507" t="s">
        <v>1125</v>
      </c>
      <c r="B1601" s="508" t="s">
        <v>1084</v>
      </c>
      <c r="C1601" s="508" t="s">
        <v>411</v>
      </c>
      <c r="D1601" s="509">
        <f>SUM($D$1573,$D$1575,$D$1577,$D$1579,$D$1581,$D$1583,$D$1585,$D$1587,$D$1589,$D$1591,$D$1595,$D$1597)</f>
        <v>0</v>
      </c>
      <c r="E1601" s="509">
        <f>SUM($E$1573,$E$1575,$E$1577,$E$1579,$E$1581,$E$1583,$E$1585,$E$1587,$E$1589,$E$1591,$E$1595,$E$1597)</f>
        <v>0</v>
      </c>
      <c r="F1601" s="509">
        <f>SUM($F$1573,$F$1575,$F$1577,$F$1579,$F$1581,$F$1583,$F$1585,$F$1587,$F$1589,$F$1591,$F$1595,$F$1597)</f>
        <v>17</v>
      </c>
      <c r="G1601" s="509"/>
      <c r="H1601" s="509">
        <f>SUM($H$1573,$H$1575,$H$1577,$H$1579,$H$1581,$H$1583,$H$1585,$H$1587,$H$1589,$H$1591,$H$1595,$H$1597)</f>
        <v>83</v>
      </c>
      <c r="I1601" s="509">
        <f>SUM($I$1573,$I$1575,$I$1577,$I$1579,$I$1581,$I$1583,$I$1585,$I$1587,$I$1589,$I$1591,$I$1595,$I$1597)</f>
        <v>47</v>
      </c>
      <c r="J1601" s="508" t="s">
        <v>321</v>
      </c>
    </row>
    <row r="1602" spans="1:10" ht="21" customHeight="1">
      <c r="A1602" s="507" t="s">
        <v>1125</v>
      </c>
      <c r="B1602" s="508" t="s">
        <v>484</v>
      </c>
      <c r="C1602" s="508" t="s">
        <v>411</v>
      </c>
      <c r="D1602" s="509">
        <f>$D$1600</f>
        <v>12</v>
      </c>
      <c r="E1602" s="509">
        <f>SUM($E$1600)</f>
        <v>14</v>
      </c>
      <c r="F1602" s="509">
        <f>SUM($F$1600)</f>
        <v>12</v>
      </c>
      <c r="G1602" s="509"/>
      <c r="H1602" s="509">
        <f>SUM($H$1600)</f>
        <v>23</v>
      </c>
      <c r="I1602" s="509">
        <f>SUM($I$1600)</f>
        <v>11</v>
      </c>
      <c r="J1602" s="508" t="s">
        <v>321</v>
      </c>
    </row>
    <row r="1603" spans="1:10" ht="21" customHeight="1">
      <c r="A1603" s="507" t="s">
        <v>1125</v>
      </c>
      <c r="B1603" s="508" t="s">
        <v>1130</v>
      </c>
      <c r="C1603" s="508" t="s">
        <v>411</v>
      </c>
      <c r="D1603" s="509">
        <f>$D$1601</f>
        <v>0</v>
      </c>
      <c r="E1603" s="509">
        <f>SUM($E$1601)</f>
        <v>0</v>
      </c>
      <c r="F1603" s="509">
        <f>SUM($F$1601)</f>
        <v>17</v>
      </c>
      <c r="G1603" s="509"/>
      <c r="H1603" s="509">
        <f>SUM($H$1601)</f>
        <v>83</v>
      </c>
      <c r="I1603" s="509">
        <f>SUM($I$1601)</f>
        <v>47</v>
      </c>
      <c r="J1603" s="508" t="s">
        <v>321</v>
      </c>
    </row>
    <row r="1604" spans="1:10" ht="21" customHeight="1">
      <c r="A1604" s="507" t="s">
        <v>1125</v>
      </c>
      <c r="B1604" s="508" t="s">
        <v>1131</v>
      </c>
      <c r="C1604" s="508" t="s">
        <v>397</v>
      </c>
      <c r="D1604" s="509">
        <v>51</v>
      </c>
      <c r="E1604" s="509">
        <v>51</v>
      </c>
      <c r="F1604" s="509">
        <v>51</v>
      </c>
      <c r="G1604" s="509"/>
      <c r="H1604" s="509">
        <v>51</v>
      </c>
      <c r="I1604" s="509">
        <f>'Cálculos Cambalache (60%)'!B21</f>
        <v>51</v>
      </c>
      <c r="J1604" s="508"/>
    </row>
    <row r="1605" spans="1:10" ht="21" customHeight="1">
      <c r="A1605" s="507" t="s">
        <v>1125</v>
      </c>
      <c r="B1605" s="508" t="s">
        <v>669</v>
      </c>
      <c r="C1605" s="508" t="s">
        <v>411</v>
      </c>
      <c r="D1605" s="509">
        <f>$D$1598</f>
        <v>6</v>
      </c>
      <c r="E1605" s="509">
        <f>$E$1598</f>
        <v>20</v>
      </c>
      <c r="F1605" s="509">
        <f>$F$1598</f>
        <v>26</v>
      </c>
      <c r="G1605" s="509"/>
      <c r="H1605" s="509">
        <f>$H$1598</f>
        <v>23</v>
      </c>
      <c r="I1605" s="509">
        <f>$I$1598</f>
        <v>29</v>
      </c>
      <c r="J1605" s="508"/>
    </row>
    <row r="1606" spans="1:10" ht="21" customHeight="1">
      <c r="A1606" s="507" t="s">
        <v>1125</v>
      </c>
      <c r="B1606" s="508" t="s">
        <v>1132</v>
      </c>
      <c r="C1606" s="508" t="s">
        <v>397</v>
      </c>
      <c r="D1606" s="509">
        <v>51</v>
      </c>
      <c r="E1606" s="509">
        <v>51</v>
      </c>
      <c r="F1606" s="509">
        <v>51</v>
      </c>
      <c r="G1606" s="509"/>
      <c r="H1606" s="509">
        <v>51</v>
      </c>
      <c r="I1606" s="509">
        <f>'Cálculos Cambalache (60%)'!F21</f>
        <v>51</v>
      </c>
      <c r="J1606" s="508"/>
    </row>
    <row r="1607" spans="1:10" ht="21" customHeight="1">
      <c r="A1607" s="507" t="s">
        <v>1125</v>
      </c>
      <c r="B1607" s="508" t="s">
        <v>1133</v>
      </c>
      <c r="C1607" s="508" t="s">
        <v>411</v>
      </c>
      <c r="D1607" s="509">
        <f>$D$1602</f>
        <v>12</v>
      </c>
      <c r="E1607" s="509">
        <f>$E$1602</f>
        <v>14</v>
      </c>
      <c r="F1607" s="509">
        <f>$F$1602</f>
        <v>12</v>
      </c>
      <c r="G1607" s="509"/>
      <c r="H1607" s="509">
        <f>$H$1602</f>
        <v>23</v>
      </c>
      <c r="I1607" s="509">
        <f>$I$1602</f>
        <v>11</v>
      </c>
      <c r="J1607" s="508"/>
    </row>
    <row r="1608" spans="1:10" ht="21" customHeight="1">
      <c r="A1608" s="507" t="s">
        <v>1125</v>
      </c>
      <c r="B1608" s="508" t="s">
        <v>1134</v>
      </c>
      <c r="C1608" s="508" t="s">
        <v>397</v>
      </c>
      <c r="D1608" s="509">
        <v>51</v>
      </c>
      <c r="E1608" s="509">
        <v>51</v>
      </c>
      <c r="F1608" s="509">
        <v>51</v>
      </c>
      <c r="G1608" s="509"/>
      <c r="H1608" s="509">
        <v>51</v>
      </c>
      <c r="I1608" s="509">
        <f>'Cálculos Cambalache (60%)'!M21</f>
        <v>51</v>
      </c>
      <c r="J1608" s="508"/>
    </row>
    <row r="1609" spans="1:10" ht="21" customHeight="1">
      <c r="A1609" s="507" t="s">
        <v>1125</v>
      </c>
      <c r="B1609" s="508" t="s">
        <v>1135</v>
      </c>
      <c r="C1609" s="508" t="s">
        <v>411</v>
      </c>
      <c r="D1609" s="509">
        <f>$D$1599</f>
        <v>0</v>
      </c>
      <c r="E1609" s="509">
        <f>$E$1599</f>
        <v>0</v>
      </c>
      <c r="F1609" s="509">
        <f>$F$1599</f>
        <v>40</v>
      </c>
      <c r="G1609" s="509"/>
      <c r="H1609" s="509">
        <f>$H$1599</f>
        <v>63</v>
      </c>
      <c r="I1609" s="509">
        <f>$I$1599</f>
        <v>114</v>
      </c>
      <c r="J1609" s="508"/>
    </row>
    <row r="1610" spans="1:10" ht="21" customHeight="1">
      <c r="A1610" s="507" t="s">
        <v>1125</v>
      </c>
      <c r="B1610" s="508" t="s">
        <v>1136</v>
      </c>
      <c r="C1610" s="508" t="s">
        <v>397</v>
      </c>
      <c r="D1610" s="509">
        <v>51</v>
      </c>
      <c r="E1610" s="509">
        <v>51</v>
      </c>
      <c r="F1610" s="509">
        <v>51</v>
      </c>
      <c r="G1610" s="509"/>
      <c r="H1610" s="509">
        <v>51</v>
      </c>
      <c r="I1610" s="509">
        <f>'Cálculos Cambalache (60%)'!Q21</f>
        <v>51</v>
      </c>
      <c r="J1610" s="508"/>
    </row>
    <row r="1611" spans="1:10" ht="21" customHeight="1">
      <c r="A1611" s="507" t="s">
        <v>1125</v>
      </c>
      <c r="B1611" s="508" t="s">
        <v>1137</v>
      </c>
      <c r="C1611" s="508" t="s">
        <v>411</v>
      </c>
      <c r="D1611" s="509">
        <f>$D$1603</f>
        <v>0</v>
      </c>
      <c r="E1611" s="509">
        <f>$E$1603</f>
        <v>0</v>
      </c>
      <c r="F1611" s="509">
        <f>$F$1603</f>
        <v>17</v>
      </c>
      <c r="G1611" s="509"/>
      <c r="H1611" s="509">
        <f>$H$1603</f>
        <v>83</v>
      </c>
      <c r="I1611" s="509">
        <f>$I$1603</f>
        <v>47</v>
      </c>
      <c r="J1611" s="508"/>
    </row>
    <row r="1612" spans="1:10" ht="21" customHeight="1">
      <c r="A1612" s="507" t="s">
        <v>1125</v>
      </c>
      <c r="B1612" s="508" t="s">
        <v>1138</v>
      </c>
      <c r="C1612" s="508" t="s">
        <v>397</v>
      </c>
      <c r="D1612" s="509">
        <v>6</v>
      </c>
      <c r="E1612" s="509"/>
      <c r="F1612" s="509"/>
      <c r="G1612" s="509"/>
      <c r="H1612" s="509"/>
      <c r="I1612" s="509"/>
      <c r="J1612" s="508"/>
    </row>
    <row r="1613" spans="1:10" ht="21" customHeight="1">
      <c r="A1613" s="507" t="s">
        <v>1125</v>
      </c>
      <c r="B1613" s="508" t="s">
        <v>1139</v>
      </c>
      <c r="C1613" s="508" t="s">
        <v>397</v>
      </c>
      <c r="D1613" s="509">
        <v>0</v>
      </c>
      <c r="E1613" s="509"/>
      <c r="F1613" s="509"/>
      <c r="G1613" s="509"/>
      <c r="H1613" s="509"/>
      <c r="I1613" s="509"/>
      <c r="J1613" s="508"/>
    </row>
    <row r="1614" spans="1:10" ht="21" customHeight="1">
      <c r="A1614" s="507" t="s">
        <v>1125</v>
      </c>
      <c r="B1614" s="508" t="s">
        <v>901</v>
      </c>
      <c r="C1614" s="508" t="s">
        <v>397</v>
      </c>
      <c r="D1614" s="509">
        <v>2000</v>
      </c>
      <c r="E1614" s="509">
        <v>2000</v>
      </c>
      <c r="F1614" s="509">
        <v>2000</v>
      </c>
      <c r="G1614" s="509"/>
      <c r="H1614" s="509">
        <v>2000</v>
      </c>
      <c r="I1614" s="509">
        <f>'Cálculos Cambalache (60%)'!J22</f>
        <v>2000</v>
      </c>
      <c r="J1614" s="508"/>
    </row>
    <row r="1615" spans="1:10" ht="21" customHeight="1">
      <c r="A1615" s="507" t="s">
        <v>1125</v>
      </c>
      <c r="B1615" s="508" t="s">
        <v>1140</v>
      </c>
      <c r="C1615" s="508" t="s">
        <v>397</v>
      </c>
      <c r="D1615" s="509">
        <v>2000</v>
      </c>
      <c r="E1615" s="509">
        <v>2000</v>
      </c>
      <c r="F1615" s="509">
        <v>2000</v>
      </c>
      <c r="G1615" s="509"/>
      <c r="H1615" s="509">
        <v>2000</v>
      </c>
      <c r="I1615" s="509">
        <f>'Cálculos Cambalache (60%)'!U22</f>
        <v>2000</v>
      </c>
      <c r="J1615" s="508"/>
    </row>
    <row r="1616" spans="1:10" ht="21" customHeight="1">
      <c r="A1616" s="507" t="s">
        <v>1125</v>
      </c>
      <c r="B1616" s="508" t="s">
        <v>1141</v>
      </c>
      <c r="C1616" s="508" t="s">
        <v>397</v>
      </c>
      <c r="D1616" s="509"/>
      <c r="E1616" s="509">
        <v>20</v>
      </c>
      <c r="F1616" s="509"/>
      <c r="G1616" s="509"/>
      <c r="H1616" s="509"/>
      <c r="I1616" s="509"/>
      <c r="J1616" s="508"/>
    </row>
    <row r="1617" spans="1:10" ht="21" customHeight="1">
      <c r="A1617" s="507" t="s">
        <v>1125</v>
      </c>
      <c r="B1617" s="508" t="s">
        <v>1142</v>
      </c>
      <c r="C1617" s="508" t="s">
        <v>397</v>
      </c>
      <c r="D1617" s="509"/>
      <c r="E1617" s="509">
        <v>0</v>
      </c>
      <c r="F1617" s="509"/>
      <c r="G1617" s="509"/>
      <c r="H1617" s="509"/>
      <c r="I1617" s="509"/>
      <c r="J1617" s="508"/>
    </row>
    <row r="1618" spans="1:10" ht="21" customHeight="1">
      <c r="A1618" s="507" t="s">
        <v>1125</v>
      </c>
      <c r="B1618" s="508" t="s">
        <v>1143</v>
      </c>
      <c r="C1618" s="508" t="s">
        <v>397</v>
      </c>
      <c r="D1618" s="509"/>
      <c r="E1618" s="509"/>
      <c r="F1618" s="509">
        <v>26</v>
      </c>
      <c r="G1618" s="509"/>
      <c r="H1618" s="509"/>
      <c r="I1618" s="509"/>
      <c r="J1618" s="508"/>
    </row>
    <row r="1619" spans="1:10" ht="21" customHeight="1">
      <c r="A1619" s="507" t="s">
        <v>1125</v>
      </c>
      <c r="B1619" s="508" t="s">
        <v>1144</v>
      </c>
      <c r="C1619" s="508" t="s">
        <v>397</v>
      </c>
      <c r="D1619" s="509"/>
      <c r="E1619" s="509"/>
      <c r="F1619" s="509">
        <v>40</v>
      </c>
      <c r="G1619" s="509"/>
      <c r="H1619" s="509"/>
      <c r="I1619" s="509"/>
      <c r="J1619" s="508"/>
    </row>
    <row r="1620" spans="1:10" ht="21" customHeight="1">
      <c r="A1620" s="507" t="s">
        <v>1125</v>
      </c>
      <c r="B1620" s="508" t="s">
        <v>493</v>
      </c>
      <c r="C1620" s="508" t="s">
        <v>411</v>
      </c>
      <c r="D1620" s="509">
        <f>(($D$1604*$D$1605)+($D$1606*$D$1607))/$D$1614</f>
        <v>0.45900000000000002</v>
      </c>
      <c r="E1620" s="509">
        <f>(($E$1604*$E$1605)+($E$1606*$E$1607))/$E$1614</f>
        <v>0.86699999999999999</v>
      </c>
      <c r="F1620" s="509">
        <f>(($F$1604*$F$1605)+($F$1606*$F$1607))/$F$1614</f>
        <v>0.96899999999999997</v>
      </c>
      <c r="G1620" s="509"/>
      <c r="H1620" s="509">
        <f>(($H$1604*$H$1605)+($H$1606*$H$1607))/$H$1614</f>
        <v>1.173</v>
      </c>
      <c r="I1620" s="509">
        <f>(($I$1604*$I$1605)+($I$1606*$I$1607))/$I$1614</f>
        <v>1.02</v>
      </c>
      <c r="J1620" s="508"/>
    </row>
    <row r="1621" spans="1:10" ht="21" customHeight="1">
      <c r="A1621" s="507" t="s">
        <v>1125</v>
      </c>
      <c r="B1621" s="508" t="s">
        <v>776</v>
      </c>
      <c r="C1621" s="508" t="s">
        <v>411</v>
      </c>
      <c r="D1621" s="509">
        <f>(($D$1608*$D$1609)+($D$1610*$D$1611))/$D$1615</f>
        <v>0</v>
      </c>
      <c r="E1621" s="509">
        <f>(($E$1608*$E$1609)+($E$1610*$E$1611))/$E$1615</f>
        <v>0</v>
      </c>
      <c r="F1621" s="509">
        <f>(($F$1608*$F$1609)+($F$1610*$F$1611))/$F$1615</f>
        <v>1.4535</v>
      </c>
      <c r="G1621" s="509"/>
      <c r="H1621" s="509">
        <f>(($H$1608*$H$1609)+($H$1610*$H$1611))/$H$1615</f>
        <v>3.7229999999999999</v>
      </c>
      <c r="I1621" s="509">
        <f>(($I$1608*$I$1609)+($I$1610*$I$1611))/$I$1615</f>
        <v>4.1055000000000001</v>
      </c>
      <c r="J1621" s="508"/>
    </row>
    <row r="1622" spans="1:10" ht="21" customHeight="1">
      <c r="A1622" s="507" t="s">
        <v>1125</v>
      </c>
      <c r="B1622" s="508" t="s">
        <v>1145</v>
      </c>
      <c r="C1622" s="508" t="s">
        <v>674</v>
      </c>
      <c r="D1622" s="509"/>
      <c r="E1622" s="509"/>
      <c r="F1622" s="509"/>
      <c r="G1622" s="509"/>
      <c r="H1622" s="509"/>
      <c r="I1622" s="509"/>
      <c r="J1622" s="508"/>
    </row>
    <row r="1623" spans="1:10" ht="21" customHeight="1">
      <c r="A1623" s="507" t="s">
        <v>1125</v>
      </c>
      <c r="B1623" s="508" t="s">
        <v>1146</v>
      </c>
      <c r="C1623" s="508" t="s">
        <v>674</v>
      </c>
      <c r="D1623" s="509"/>
      <c r="E1623" s="509"/>
      <c r="F1623" s="509"/>
      <c r="G1623" s="509"/>
      <c r="H1623" s="509"/>
      <c r="I1623" s="509"/>
      <c r="J1623" s="508"/>
    </row>
    <row r="1624" spans="1:10" ht="21" customHeight="1">
      <c r="A1624" s="507" t="s">
        <v>1125</v>
      </c>
      <c r="B1624" s="508" t="s">
        <v>1147</v>
      </c>
      <c r="C1624" s="508" t="s">
        <v>397</v>
      </c>
      <c r="D1624" s="509"/>
      <c r="E1624" s="509"/>
      <c r="F1624" s="509"/>
      <c r="G1624" s="509"/>
      <c r="H1624" s="509">
        <v>23</v>
      </c>
      <c r="I1624" s="509">
        <f>'Cálculos Cambalache (60%)'!AC26</f>
        <v>29</v>
      </c>
      <c r="J1624" s="508"/>
    </row>
    <row r="1625" spans="1:10" ht="21" customHeight="1">
      <c r="A1625" s="507" t="s">
        <v>1125</v>
      </c>
      <c r="B1625" s="508" t="s">
        <v>1148</v>
      </c>
      <c r="C1625" s="508" t="s">
        <v>397</v>
      </c>
      <c r="D1625" s="509"/>
      <c r="E1625" s="509"/>
      <c r="F1625" s="509"/>
      <c r="G1625" s="509"/>
      <c r="H1625" s="509">
        <v>63</v>
      </c>
      <c r="I1625" s="509">
        <f>'Cálculos Cambalache (60%)'!AD26</f>
        <v>114</v>
      </c>
      <c r="J1625" s="508"/>
    </row>
    <row r="1626" spans="1:10" ht="21" customHeight="1">
      <c r="A1626" s="507" t="s">
        <v>1125</v>
      </c>
      <c r="B1626" s="508" t="s">
        <v>1149</v>
      </c>
      <c r="C1626" s="508" t="s">
        <v>674</v>
      </c>
      <c r="D1626" s="509"/>
      <c r="E1626" s="509"/>
      <c r="F1626" s="509"/>
      <c r="G1626" s="509"/>
      <c r="H1626" s="509"/>
      <c r="I1626" s="509"/>
      <c r="J1626" s="508" t="s">
        <v>93</v>
      </c>
    </row>
    <row r="1627" spans="1:10" ht="21" customHeight="1">
      <c r="A1627" s="507" t="s">
        <v>1125</v>
      </c>
      <c r="B1627" s="508" t="s">
        <v>1150</v>
      </c>
      <c r="C1627" s="508" t="s">
        <v>674</v>
      </c>
      <c r="D1627" s="509"/>
      <c r="E1627" s="509"/>
      <c r="F1627" s="509"/>
      <c r="G1627" s="509"/>
      <c r="H1627" s="509"/>
      <c r="I1627" s="509"/>
      <c r="J1627" s="508" t="s">
        <v>93</v>
      </c>
    </row>
    <row r="1628" spans="1:10" ht="21" customHeight="1">
      <c r="A1628" s="507" t="s">
        <v>1125</v>
      </c>
      <c r="B1628" s="508" t="s">
        <v>1151</v>
      </c>
      <c r="C1628" s="508" t="s">
        <v>674</v>
      </c>
      <c r="D1628" s="509"/>
      <c r="E1628" s="509"/>
      <c r="F1628" s="509"/>
      <c r="G1628" s="509"/>
      <c r="H1628" s="509"/>
      <c r="I1628" s="509"/>
      <c r="J1628" s="508"/>
    </row>
    <row r="1629" spans="1:10" ht="21" customHeight="1">
      <c r="A1629" s="507" t="s">
        <v>1125</v>
      </c>
      <c r="B1629" s="508" t="s">
        <v>1152</v>
      </c>
      <c r="C1629" s="508" t="s">
        <v>674</v>
      </c>
      <c r="D1629" s="509"/>
      <c r="E1629" s="509"/>
      <c r="F1629" s="509"/>
      <c r="G1629" s="509"/>
      <c r="H1629" s="509"/>
      <c r="I1629" s="509"/>
      <c r="J1629" s="508"/>
    </row>
    <row r="1630" spans="1:10" ht="21" customHeight="1">
      <c r="A1630" s="507" t="s">
        <v>1125</v>
      </c>
      <c r="B1630" s="508" t="s">
        <v>1153</v>
      </c>
      <c r="C1630" s="508" t="s">
        <v>674</v>
      </c>
      <c r="D1630" s="509"/>
      <c r="E1630" s="509"/>
      <c r="F1630" s="509"/>
      <c r="G1630" s="509"/>
      <c r="H1630" s="509"/>
      <c r="I1630" s="509"/>
      <c r="J1630" s="508"/>
    </row>
    <row r="1631" spans="1:10" ht="21" customHeight="1">
      <c r="A1631" s="507" t="s">
        <v>1125</v>
      </c>
      <c r="B1631" s="508" t="s">
        <v>1154</v>
      </c>
      <c r="C1631" s="508" t="s">
        <v>674</v>
      </c>
      <c r="D1631" s="509"/>
      <c r="E1631" s="509"/>
      <c r="F1631" s="509"/>
      <c r="G1631" s="509"/>
      <c r="H1631" s="509"/>
      <c r="I1631" s="509"/>
      <c r="J1631" s="508"/>
    </row>
    <row r="1632" spans="1:10" ht="21" customHeight="1">
      <c r="A1632" s="507" t="s">
        <v>1125</v>
      </c>
      <c r="B1632" s="508" t="s">
        <v>513</v>
      </c>
      <c r="C1632" s="508" t="s">
        <v>397</v>
      </c>
      <c r="D1632" s="509">
        <v>137</v>
      </c>
      <c r="E1632" s="509">
        <v>137</v>
      </c>
      <c r="F1632" s="509">
        <v>137</v>
      </c>
      <c r="G1632" s="509"/>
      <c r="H1632" s="509">
        <v>137</v>
      </c>
      <c r="I1632" s="509">
        <f>'Cálculos Cambalache (60%)'!B29</f>
        <v>137</v>
      </c>
      <c r="J1632" s="508"/>
    </row>
    <row r="1633" spans="1:10" ht="21" customHeight="1">
      <c r="A1633" s="507" t="s">
        <v>1125</v>
      </c>
      <c r="B1633" s="508" t="s">
        <v>515</v>
      </c>
      <c r="C1633" s="508" t="s">
        <v>411</v>
      </c>
      <c r="D1633" s="509">
        <f>$D$1598</f>
        <v>6</v>
      </c>
      <c r="E1633" s="509">
        <f>$E$1598</f>
        <v>20</v>
      </c>
      <c r="F1633" s="509">
        <f>$F$1598</f>
        <v>26</v>
      </c>
      <c r="G1633" s="509"/>
      <c r="H1633" s="509">
        <f>$H$1598</f>
        <v>23</v>
      </c>
      <c r="I1633" s="509">
        <f>$I$1598</f>
        <v>29</v>
      </c>
      <c r="J1633" s="508"/>
    </row>
    <row r="1634" spans="1:10" ht="21" customHeight="1">
      <c r="A1634" s="507" t="s">
        <v>1125</v>
      </c>
      <c r="B1634" s="508" t="s">
        <v>833</v>
      </c>
      <c r="C1634" s="508" t="s">
        <v>397</v>
      </c>
      <c r="D1634" s="509">
        <v>137</v>
      </c>
      <c r="E1634" s="509">
        <v>137</v>
      </c>
      <c r="F1634" s="509">
        <v>137</v>
      </c>
      <c r="G1634" s="509"/>
      <c r="H1634" s="509">
        <v>137</v>
      </c>
      <c r="I1634" s="509">
        <f>'Cálculos Cambalache (60%)'!F29</f>
        <v>137</v>
      </c>
      <c r="J1634" s="508"/>
    </row>
    <row r="1635" spans="1:10" ht="21" customHeight="1">
      <c r="A1635" s="507" t="s">
        <v>1125</v>
      </c>
      <c r="B1635" s="508" t="s">
        <v>1155</v>
      </c>
      <c r="C1635" s="508" t="s">
        <v>411</v>
      </c>
      <c r="D1635" s="509">
        <f>$D$1602</f>
        <v>12</v>
      </c>
      <c r="E1635" s="509">
        <f>$E$1602</f>
        <v>14</v>
      </c>
      <c r="F1635" s="509">
        <f>$F$1602</f>
        <v>12</v>
      </c>
      <c r="G1635" s="509"/>
      <c r="H1635" s="509">
        <f>$H$1602</f>
        <v>23</v>
      </c>
      <c r="I1635" s="509">
        <f>$I$1602</f>
        <v>11</v>
      </c>
      <c r="J1635" s="508"/>
    </row>
    <row r="1636" spans="1:10" ht="21" customHeight="1">
      <c r="A1636" s="507" t="s">
        <v>1125</v>
      </c>
      <c r="B1636" s="508" t="s">
        <v>1156</v>
      </c>
      <c r="C1636" s="508" t="s">
        <v>397</v>
      </c>
      <c r="D1636" s="509">
        <v>137</v>
      </c>
      <c r="E1636" s="509">
        <v>137</v>
      </c>
      <c r="F1636" s="509">
        <v>137</v>
      </c>
      <c r="G1636" s="509"/>
      <c r="H1636" s="509">
        <v>137</v>
      </c>
      <c r="I1636" s="509">
        <f>'Cálculos Cambalache (60%)'!M29</f>
        <v>137</v>
      </c>
      <c r="J1636" s="508"/>
    </row>
    <row r="1637" spans="1:10" ht="21" customHeight="1">
      <c r="A1637" s="507" t="s">
        <v>1125</v>
      </c>
      <c r="B1637" s="508" t="s">
        <v>1157</v>
      </c>
      <c r="C1637" s="508" t="s">
        <v>411</v>
      </c>
      <c r="D1637" s="509">
        <f>$D$1599</f>
        <v>0</v>
      </c>
      <c r="E1637" s="509">
        <f>$E$1599</f>
        <v>0</v>
      </c>
      <c r="F1637" s="509">
        <f>$F$1599</f>
        <v>40</v>
      </c>
      <c r="G1637" s="509"/>
      <c r="H1637" s="509">
        <f>$H$1599</f>
        <v>63</v>
      </c>
      <c r="I1637" s="509">
        <f>$I$1599</f>
        <v>114</v>
      </c>
      <c r="J1637" s="508"/>
    </row>
    <row r="1638" spans="1:10" ht="21" customHeight="1">
      <c r="A1638" s="507" t="s">
        <v>1125</v>
      </c>
      <c r="B1638" s="508" t="s">
        <v>834</v>
      </c>
      <c r="C1638" s="508" t="s">
        <v>397</v>
      </c>
      <c r="D1638" s="509">
        <v>137</v>
      </c>
      <c r="E1638" s="509">
        <v>137</v>
      </c>
      <c r="F1638" s="509">
        <v>137</v>
      </c>
      <c r="G1638" s="509"/>
      <c r="H1638" s="509">
        <v>137</v>
      </c>
      <c r="I1638" s="509">
        <f>'Cálculos Cambalache (60%)'!Q29</f>
        <v>137</v>
      </c>
      <c r="J1638" s="508"/>
    </row>
    <row r="1639" spans="1:10" ht="21" customHeight="1">
      <c r="A1639" s="507" t="s">
        <v>1125</v>
      </c>
      <c r="B1639" s="508" t="s">
        <v>1158</v>
      </c>
      <c r="C1639" s="508" t="s">
        <v>411</v>
      </c>
      <c r="D1639" s="509">
        <f>$D$1603</f>
        <v>0</v>
      </c>
      <c r="E1639" s="509">
        <f>$E$1603</f>
        <v>0</v>
      </c>
      <c r="F1639" s="509">
        <f>$F$1603</f>
        <v>17</v>
      </c>
      <c r="G1639" s="509"/>
      <c r="H1639" s="509">
        <f>$H$1603</f>
        <v>83</v>
      </c>
      <c r="I1639" s="509">
        <f>$I$1603</f>
        <v>47</v>
      </c>
      <c r="J1639" s="508"/>
    </row>
    <row r="1640" spans="1:10" ht="21" customHeight="1">
      <c r="A1640" s="507" t="s">
        <v>1125</v>
      </c>
      <c r="B1640" s="508" t="s">
        <v>1159</v>
      </c>
      <c r="C1640" s="508" t="s">
        <v>674</v>
      </c>
      <c r="D1640" s="509"/>
      <c r="E1640" s="509"/>
      <c r="F1640" s="509"/>
      <c r="G1640" s="509"/>
      <c r="H1640" s="509"/>
      <c r="I1640" s="509"/>
      <c r="J1640" s="508"/>
    </row>
    <row r="1641" spans="1:10" ht="21" customHeight="1">
      <c r="A1641" s="507" t="s">
        <v>1125</v>
      </c>
      <c r="B1641" s="508" t="s">
        <v>1160</v>
      </c>
      <c r="C1641" s="508" t="s">
        <v>674</v>
      </c>
      <c r="D1641" s="509"/>
      <c r="E1641" s="509"/>
      <c r="F1641" s="509"/>
      <c r="G1641" s="509"/>
      <c r="H1641" s="509"/>
      <c r="I1641" s="509"/>
      <c r="J1641" s="508"/>
    </row>
    <row r="1642" spans="1:10" ht="21" customHeight="1">
      <c r="A1642" s="507" t="s">
        <v>1125</v>
      </c>
      <c r="B1642" s="508" t="s">
        <v>1111</v>
      </c>
      <c r="C1642" s="508" t="s">
        <v>397</v>
      </c>
      <c r="D1642" s="509">
        <v>2000</v>
      </c>
      <c r="E1642" s="509">
        <v>2000</v>
      </c>
      <c r="F1642" s="509">
        <v>2000</v>
      </c>
      <c r="G1642" s="509"/>
      <c r="H1642" s="509">
        <v>2000</v>
      </c>
      <c r="I1642" s="509">
        <f>'Cálculos Cambalache (60%)'!J30</f>
        <v>2000</v>
      </c>
      <c r="J1642" s="508"/>
    </row>
    <row r="1643" spans="1:10" ht="21" customHeight="1">
      <c r="A1643" s="507" t="s">
        <v>1125</v>
      </c>
      <c r="B1643" s="508" t="s">
        <v>1161</v>
      </c>
      <c r="C1643" s="508" t="s">
        <v>397</v>
      </c>
      <c r="D1643" s="509">
        <v>2000</v>
      </c>
      <c r="E1643" s="509">
        <v>2000</v>
      </c>
      <c r="F1643" s="509">
        <v>2000</v>
      </c>
      <c r="G1643" s="509"/>
      <c r="H1643" s="509">
        <v>2000</v>
      </c>
      <c r="I1643" s="509">
        <f>'Cálculos Cambalache (60%)'!U30</f>
        <v>2000</v>
      </c>
      <c r="J1643" s="508"/>
    </row>
    <row r="1644" spans="1:10" ht="21" customHeight="1">
      <c r="A1644" s="507" t="s">
        <v>1125</v>
      </c>
      <c r="B1644" s="508" t="s">
        <v>1162</v>
      </c>
      <c r="C1644" s="508" t="s">
        <v>674</v>
      </c>
      <c r="D1644" s="509"/>
      <c r="E1644" s="509"/>
      <c r="F1644" s="509"/>
      <c r="G1644" s="509"/>
      <c r="H1644" s="509"/>
      <c r="I1644" s="509"/>
      <c r="J1644" s="508"/>
    </row>
    <row r="1645" spans="1:10" ht="21" customHeight="1">
      <c r="A1645" s="507" t="s">
        <v>1125</v>
      </c>
      <c r="B1645" s="508" t="s">
        <v>1163</v>
      </c>
      <c r="C1645" s="508" t="s">
        <v>674</v>
      </c>
      <c r="D1645" s="509"/>
      <c r="E1645" s="509"/>
      <c r="F1645" s="509"/>
      <c r="G1645" s="509"/>
      <c r="H1645" s="509"/>
      <c r="I1645" s="509"/>
      <c r="J1645" s="508"/>
    </row>
    <row r="1646" spans="1:10" ht="21" customHeight="1">
      <c r="A1646" s="507" t="s">
        <v>1125</v>
      </c>
      <c r="B1646" s="508" t="s">
        <v>1164</v>
      </c>
      <c r="C1646" s="508" t="s">
        <v>674</v>
      </c>
      <c r="D1646" s="509"/>
      <c r="E1646" s="509"/>
      <c r="F1646" s="509"/>
      <c r="G1646" s="509"/>
      <c r="H1646" s="509"/>
      <c r="I1646" s="509"/>
      <c r="J1646" s="508"/>
    </row>
    <row r="1647" spans="1:10" ht="21" customHeight="1">
      <c r="A1647" s="507" t="s">
        <v>1125</v>
      </c>
      <c r="B1647" s="508" t="s">
        <v>1165</v>
      </c>
      <c r="C1647" s="508" t="s">
        <v>674</v>
      </c>
      <c r="D1647" s="509"/>
      <c r="E1647" s="509"/>
      <c r="F1647" s="509"/>
      <c r="G1647" s="509"/>
      <c r="H1647" s="509"/>
      <c r="I1647" s="509"/>
      <c r="J1647" s="508"/>
    </row>
    <row r="1648" spans="1:10" ht="21" customHeight="1">
      <c r="A1648" s="507" t="s">
        <v>1125</v>
      </c>
      <c r="B1648" s="508" t="s">
        <v>609</v>
      </c>
      <c r="C1648" s="508" t="s">
        <v>411</v>
      </c>
      <c r="D1648" s="509">
        <f>(($D$1632*$D$1633)+($D$1634*$D$1635))/$D$1642</f>
        <v>1.2330000000000001</v>
      </c>
      <c r="E1648" s="509">
        <f>(($E$1632*$E$1633)+($E$1634*$E$1635))/$E$1642</f>
        <v>2.3290000000000002</v>
      </c>
      <c r="F1648" s="509">
        <f>(($F$1632*$F$1633)+($F$1634*$F$1635))/$F$1642</f>
        <v>2.6030000000000002</v>
      </c>
      <c r="G1648" s="509"/>
      <c r="H1648" s="509">
        <f>(($H$1632*$H$1633)+($H$1634*$H$1635))/$H$1642</f>
        <v>3.1509999999999998</v>
      </c>
      <c r="I1648" s="509">
        <f>(($I$1632*$I$1633)+($I$1634*$I$1635))/$I$1642</f>
        <v>2.74</v>
      </c>
      <c r="J1648" s="508"/>
    </row>
    <row r="1649" spans="1:10" ht="21" customHeight="1">
      <c r="A1649" s="507" t="s">
        <v>1125</v>
      </c>
      <c r="B1649" s="508" t="s">
        <v>612</v>
      </c>
      <c r="C1649" s="508" t="s">
        <v>411</v>
      </c>
      <c r="D1649" s="509">
        <f>(($D$1636*$D$1637)+($D$1638*$D$1639))/$D$1643</f>
        <v>0</v>
      </c>
      <c r="E1649" s="509">
        <f>(($E$1636*$E$1637)+($E$1638*$E$1639))/$E$1643</f>
        <v>0</v>
      </c>
      <c r="F1649" s="509">
        <f>(($F$1636*$F$1637)+($F$1638*$F$1639))/$F$1643</f>
        <v>3.9045000000000001</v>
      </c>
      <c r="G1649" s="509"/>
      <c r="H1649" s="509">
        <f>(($H$1636*$H$1637)+($H$1638*$H$1639))/$H$1643</f>
        <v>10.000999999999999</v>
      </c>
      <c r="I1649" s="509">
        <f>(($I$1636*$I$1637)+($I$1638*$I$1639))/$I$1643</f>
        <v>11.028499999999999</v>
      </c>
      <c r="J1649" s="508"/>
    </row>
    <row r="1650" spans="1:10" ht="21" customHeight="1">
      <c r="A1650" s="507" t="s">
        <v>1125</v>
      </c>
      <c r="B1650" s="508" t="s">
        <v>1166</v>
      </c>
      <c r="C1650" s="508" t="s">
        <v>674</v>
      </c>
      <c r="D1650" s="509"/>
      <c r="E1650" s="509"/>
      <c r="F1650" s="509"/>
      <c r="G1650" s="509"/>
      <c r="H1650" s="509"/>
      <c r="I1650" s="509"/>
      <c r="J1650" s="508"/>
    </row>
    <row r="1651" spans="1:10" ht="21" customHeight="1">
      <c r="A1651" s="507" t="s">
        <v>1125</v>
      </c>
      <c r="B1651" s="508" t="s">
        <v>1167</v>
      </c>
      <c r="C1651" s="508" t="s">
        <v>674</v>
      </c>
      <c r="D1651" s="509"/>
      <c r="E1651" s="509"/>
      <c r="F1651" s="509"/>
      <c r="G1651" s="509"/>
      <c r="H1651" s="509"/>
      <c r="I1651" s="509"/>
      <c r="J1651" s="508"/>
    </row>
    <row r="1652" spans="1:10" ht="21" customHeight="1">
      <c r="A1652" s="507" t="s">
        <v>1125</v>
      </c>
      <c r="B1652" s="508" t="s">
        <v>1168</v>
      </c>
      <c r="C1652" s="508" t="s">
        <v>411</v>
      </c>
      <c r="D1652" s="509">
        <f>SUM($D$1612,$D$1616,$D$1618,$D$1622,$D$1624,$D$1626,$D$1628,$D$1630,$D$1640,$D$1644,$D$1646,$D$1650)</f>
        <v>6</v>
      </c>
      <c r="E1652" s="509">
        <f>SUM($E$1612,$E$1616,$E$1618,$E$1622,$E$1624,$E$1626,$E$1628,$E$1630,$E$1640,$E$1644,$E$1646,$E$1650)</f>
        <v>20</v>
      </c>
      <c r="F1652" s="509">
        <f>SUM($F$1612,$F$1616,$F$1618,$F$1622,$F$1624,$F$1626,$F$1628,$F$1630,$F$1640,$F$1644,$F$1646,$F$1650)</f>
        <v>26</v>
      </c>
      <c r="G1652" s="509"/>
      <c r="H1652" s="509">
        <f>SUM($H$1612,$H$1616,$H$1618,$H$1622,$H$1624,$H$1626,$H$1628,$H$1630,$H$1640,$H$1644,$H$1646,$H$1650)</f>
        <v>23</v>
      </c>
      <c r="I1652" s="509">
        <f>SUM($I$1612,$I$1616,$I$1618,$I$1622,$I$1624,$I$1626,$I$1628,$I$1630,$I$1640,$I$1644,$I$1646,$I$1650)</f>
        <v>29</v>
      </c>
      <c r="J1652" s="508"/>
    </row>
    <row r="1653" spans="1:10" ht="21" customHeight="1">
      <c r="A1653" s="507" t="s">
        <v>1125</v>
      </c>
      <c r="B1653" s="508" t="s">
        <v>1169</v>
      </c>
      <c r="C1653" s="508" t="s">
        <v>411</v>
      </c>
      <c r="D1653" s="509">
        <f>SUM($D$1613,$D$1617,$D$1619,$D$1623,$D$1625,$D$1627,$D$1629,$D$1631,$D$1641,$D$1645,$D$1647,$D$1651)</f>
        <v>0</v>
      </c>
      <c r="E1653" s="509">
        <f>SUM($E$1613,$E$1617,$E$1619,$E$1623,$E$1625,$E$1627,$E$1629,$E$1631,$E$1641,$E$1645,$E$1647,$E$1651)</f>
        <v>0</v>
      </c>
      <c r="F1653" s="509">
        <f>SUM($F$1613,$F$1617,$F$1619,$F$1623,$F$1625,$F$1627,$F$1629,$F$1631,$F$1641,$F$1645,$F$1647,$F$1651)</f>
        <v>40</v>
      </c>
      <c r="G1653" s="509"/>
      <c r="H1653" s="509">
        <f>SUM($H$1613,$H$1617,$H$1619,$H$1623,$H$1625,$H$1627,$H$1629,$H$1631,$H$1641,$H$1645,$H$1647,$H$1651)</f>
        <v>63</v>
      </c>
      <c r="I1653" s="509">
        <f>SUM($I$1613,$I$1617,$I$1619,$I$1623,$I$1625,$I$1627,$I$1629,$I$1631,$I$1641,$I$1645,$I$1647,$I$1651)</f>
        <v>114</v>
      </c>
      <c r="J1653" s="508"/>
    </row>
    <row r="1654" spans="1:10" ht="21" customHeight="1">
      <c r="A1654" s="507" t="s">
        <v>1125</v>
      </c>
      <c r="B1654" s="508" t="s">
        <v>517</v>
      </c>
      <c r="C1654" s="508" t="s">
        <v>397</v>
      </c>
      <c r="D1654" s="509">
        <v>13</v>
      </c>
      <c r="E1654" s="509">
        <v>13</v>
      </c>
      <c r="F1654" s="509">
        <v>13</v>
      </c>
      <c r="G1654" s="509"/>
      <c r="H1654" s="509">
        <v>13</v>
      </c>
      <c r="I1654" s="509">
        <f>'Cálculos Cambalache (60%)'!B42</f>
        <v>13</v>
      </c>
      <c r="J1654" s="508"/>
    </row>
    <row r="1655" spans="1:10" ht="21" customHeight="1">
      <c r="A1655" s="507" t="s">
        <v>1125</v>
      </c>
      <c r="B1655" s="508" t="s">
        <v>815</v>
      </c>
      <c r="C1655" s="508" t="s">
        <v>411</v>
      </c>
      <c r="D1655" s="509">
        <f>$D$1598</f>
        <v>6</v>
      </c>
      <c r="E1655" s="509">
        <f>$E$1598</f>
        <v>20</v>
      </c>
      <c r="F1655" s="509">
        <f>$F$1598</f>
        <v>26</v>
      </c>
      <c r="G1655" s="509"/>
      <c r="H1655" s="509">
        <f>$H$1598</f>
        <v>23</v>
      </c>
      <c r="I1655" s="509">
        <f>$I$1598</f>
        <v>29</v>
      </c>
      <c r="J1655" s="508"/>
    </row>
    <row r="1656" spans="1:10" ht="21" customHeight="1">
      <c r="A1656" s="507" t="s">
        <v>1125</v>
      </c>
      <c r="B1656" s="508" t="s">
        <v>870</v>
      </c>
      <c r="C1656" s="508" t="s">
        <v>397</v>
      </c>
      <c r="D1656" s="509">
        <v>11</v>
      </c>
      <c r="E1656" s="509">
        <v>11</v>
      </c>
      <c r="F1656" s="509">
        <v>11</v>
      </c>
      <c r="G1656" s="509"/>
      <c r="H1656" s="509">
        <v>11</v>
      </c>
      <c r="I1656" s="509">
        <f>'Cálculos Cambalache (60%)'!F42</f>
        <v>11</v>
      </c>
      <c r="J1656" s="508"/>
    </row>
    <row r="1657" spans="1:10" ht="21" customHeight="1">
      <c r="A1657" s="507" t="s">
        <v>1125</v>
      </c>
      <c r="B1657" s="508" t="s">
        <v>872</v>
      </c>
      <c r="C1657" s="508" t="s">
        <v>411</v>
      </c>
      <c r="D1657" s="509">
        <f>$D$1602</f>
        <v>12</v>
      </c>
      <c r="E1657" s="509">
        <f>$E$1602</f>
        <v>14</v>
      </c>
      <c r="F1657" s="509">
        <f>$F$1602</f>
        <v>12</v>
      </c>
      <c r="G1657" s="509"/>
      <c r="H1657" s="509">
        <f>$H$1602</f>
        <v>23</v>
      </c>
      <c r="I1657" s="509">
        <f>$I$1602</f>
        <v>11</v>
      </c>
      <c r="J1657" s="508"/>
    </row>
    <row r="1658" spans="1:10" ht="21" customHeight="1">
      <c r="A1658" s="507" t="s">
        <v>1125</v>
      </c>
      <c r="B1658" s="508" t="s">
        <v>1170</v>
      </c>
      <c r="C1658" s="508" t="s">
        <v>397</v>
      </c>
      <c r="D1658" s="509">
        <v>13</v>
      </c>
      <c r="E1658" s="509">
        <v>13</v>
      </c>
      <c r="F1658" s="509">
        <v>13</v>
      </c>
      <c r="G1658" s="509"/>
      <c r="H1658" s="509">
        <v>13</v>
      </c>
      <c r="I1658" s="509">
        <f>'Cálculos Cambalache (60%)'!M42</f>
        <v>13</v>
      </c>
      <c r="J1658" s="508"/>
    </row>
    <row r="1659" spans="1:10" ht="21" customHeight="1">
      <c r="A1659" s="507" t="s">
        <v>1125</v>
      </c>
      <c r="B1659" s="508" t="s">
        <v>1171</v>
      </c>
      <c r="C1659" s="508" t="s">
        <v>411</v>
      </c>
      <c r="D1659" s="509">
        <f>$D$1599</f>
        <v>0</v>
      </c>
      <c r="E1659" s="509">
        <f>$E$1599</f>
        <v>0</v>
      </c>
      <c r="F1659" s="509">
        <f>$F$1599</f>
        <v>40</v>
      </c>
      <c r="G1659" s="509"/>
      <c r="H1659" s="509">
        <f>$H$1599</f>
        <v>63</v>
      </c>
      <c r="I1659" s="509">
        <f>$I$1599</f>
        <v>114</v>
      </c>
      <c r="J1659" s="508"/>
    </row>
    <row r="1660" spans="1:10" ht="21" customHeight="1">
      <c r="A1660" s="507" t="s">
        <v>1125</v>
      </c>
      <c r="B1660" s="508" t="s">
        <v>1172</v>
      </c>
      <c r="C1660" s="508" t="s">
        <v>397</v>
      </c>
      <c r="D1660" s="509">
        <v>11</v>
      </c>
      <c r="E1660" s="509">
        <v>11</v>
      </c>
      <c r="F1660" s="509">
        <v>11</v>
      </c>
      <c r="G1660" s="509"/>
      <c r="H1660" s="509">
        <v>11</v>
      </c>
      <c r="I1660" s="509">
        <f>'Cálculos Cambalache (60%)'!Q42</f>
        <v>11</v>
      </c>
      <c r="J1660" s="508"/>
    </row>
    <row r="1661" spans="1:10" ht="21" customHeight="1">
      <c r="A1661" s="507" t="s">
        <v>1125</v>
      </c>
      <c r="B1661" s="508" t="s">
        <v>1173</v>
      </c>
      <c r="C1661" s="508" t="s">
        <v>411</v>
      </c>
      <c r="D1661" s="509">
        <f>$D$1603</f>
        <v>0</v>
      </c>
      <c r="E1661" s="509">
        <f>$E$1603</f>
        <v>0</v>
      </c>
      <c r="F1661" s="509">
        <f>$F$1603</f>
        <v>17</v>
      </c>
      <c r="G1661" s="509"/>
      <c r="H1661" s="509">
        <f>$H$1603</f>
        <v>83</v>
      </c>
      <c r="I1661" s="509">
        <f>$I$1603</f>
        <v>47</v>
      </c>
      <c r="J1661" s="508"/>
    </row>
    <row r="1662" spans="1:10" ht="21" customHeight="1">
      <c r="A1662" s="507" t="s">
        <v>1125</v>
      </c>
      <c r="B1662" s="508" t="s">
        <v>1174</v>
      </c>
      <c r="C1662" s="508" t="s">
        <v>397</v>
      </c>
      <c r="D1662" s="509">
        <v>2000</v>
      </c>
      <c r="E1662" s="509">
        <v>2000</v>
      </c>
      <c r="F1662" s="509">
        <v>2000</v>
      </c>
      <c r="G1662" s="509"/>
      <c r="H1662" s="509">
        <v>2000</v>
      </c>
      <c r="I1662" s="509">
        <f>'Cálculos Cambalache (60%)'!J43</f>
        <v>2000</v>
      </c>
      <c r="J1662" s="508"/>
    </row>
    <row r="1663" spans="1:10" ht="21" customHeight="1">
      <c r="A1663" s="507" t="s">
        <v>1125</v>
      </c>
      <c r="B1663" s="508" t="s">
        <v>1175</v>
      </c>
      <c r="C1663" s="508" t="s">
        <v>397</v>
      </c>
      <c r="D1663" s="509">
        <v>2000</v>
      </c>
      <c r="E1663" s="509">
        <v>2000</v>
      </c>
      <c r="F1663" s="509">
        <v>2000</v>
      </c>
      <c r="G1663" s="509"/>
      <c r="H1663" s="509">
        <v>2000</v>
      </c>
      <c r="I1663" s="509">
        <f>'Cálculos Cambalache (60%)'!U43</f>
        <v>2000</v>
      </c>
      <c r="J1663" s="508"/>
    </row>
    <row r="1664" spans="1:10" ht="21" customHeight="1">
      <c r="A1664" s="507" t="s">
        <v>1125</v>
      </c>
      <c r="B1664" s="508" t="s">
        <v>523</v>
      </c>
      <c r="C1664" s="508" t="s">
        <v>411</v>
      </c>
      <c r="D1664" s="509">
        <f>(($D$1654*$D$1655)+($D$1656*$D$1657))/$D$1662</f>
        <v>0.105</v>
      </c>
      <c r="E1664" s="509">
        <f>(($E$1654*$E$1655)+($E$1656*$E$1657))/$E$1662</f>
        <v>0.20699999999999999</v>
      </c>
      <c r="F1664" s="509">
        <f>(($F$1654*$F$1655)+($F$1656*$F$1657))/$F$1662</f>
        <v>0.23499999999999999</v>
      </c>
      <c r="G1664" s="509"/>
      <c r="H1664" s="509">
        <f>(($H$1654*$H$1655)+($H$1656*$H$1657))/$H$1662</f>
        <v>0.27600000000000002</v>
      </c>
      <c r="I1664" s="509">
        <f>(($I$1654*$I$1655)+($I$1656*$I$1657))/$I$1662</f>
        <v>0.249</v>
      </c>
      <c r="J1664" s="508"/>
    </row>
    <row r="1665" spans="1:10" ht="21" customHeight="1">
      <c r="A1665" s="507" t="s">
        <v>1125</v>
      </c>
      <c r="B1665" s="508" t="s">
        <v>1176</v>
      </c>
      <c r="C1665" s="508" t="s">
        <v>411</v>
      </c>
      <c r="D1665" s="509">
        <f>(($D$1658*$D$1659)+($D$1660*$D$1661))/$D$1663</f>
        <v>0</v>
      </c>
      <c r="E1665" s="509">
        <f>(($E$1658*$E$1659)+($E$1660*$E$1661))/$E$1663</f>
        <v>0</v>
      </c>
      <c r="F1665" s="509">
        <f>(($F$1658*$F$1659)+($F$1660*$F$1661))/$F$1663</f>
        <v>0.35349999999999998</v>
      </c>
      <c r="G1665" s="509"/>
      <c r="H1665" s="509">
        <f>(($H$1658*$H$1659)+($H$1660*$H$1661))/$H$1663</f>
        <v>0.86599999999999999</v>
      </c>
      <c r="I1665" s="509">
        <f>(($I$1658*$I$1659)+($I$1660*$I$1661))/$I$1663</f>
        <v>0.99950000000000006</v>
      </c>
      <c r="J1665" s="508"/>
    </row>
    <row r="1666" spans="1:10" ht="21" customHeight="1">
      <c r="A1666" s="507" t="s">
        <v>1125</v>
      </c>
      <c r="B1666" s="508" t="s">
        <v>628</v>
      </c>
      <c r="C1666" s="508" t="s">
        <v>397</v>
      </c>
      <c r="D1666" s="509">
        <v>2.3E-2</v>
      </c>
      <c r="E1666" s="509">
        <v>2.3E-2</v>
      </c>
      <c r="F1666" s="509">
        <v>2.3E-2</v>
      </c>
      <c r="G1666" s="509"/>
      <c r="H1666" s="509">
        <v>2.3E-2</v>
      </c>
      <c r="I1666" s="509">
        <f>'Cálculos Cambalache (60%)'!B50</f>
        <v>2.3E-2</v>
      </c>
      <c r="J1666" s="508"/>
    </row>
    <row r="1667" spans="1:10" ht="21" customHeight="1">
      <c r="A1667" s="507" t="s">
        <v>1125</v>
      </c>
      <c r="B1667" s="508" t="s">
        <v>1177</v>
      </c>
      <c r="C1667" s="508" t="s">
        <v>411</v>
      </c>
      <c r="D1667" s="509">
        <f>$D$1598</f>
        <v>6</v>
      </c>
      <c r="E1667" s="509">
        <f>$E$1598</f>
        <v>20</v>
      </c>
      <c r="F1667" s="509">
        <f>$F$1598</f>
        <v>26</v>
      </c>
      <c r="G1667" s="509"/>
      <c r="H1667" s="509">
        <f>$H$1598</f>
        <v>23</v>
      </c>
      <c r="I1667" s="509">
        <f>$I$1598</f>
        <v>29</v>
      </c>
      <c r="J1667" s="508"/>
    </row>
    <row r="1668" spans="1:10" ht="21" customHeight="1">
      <c r="A1668" s="507" t="s">
        <v>1125</v>
      </c>
      <c r="B1668" s="508" t="s">
        <v>1178</v>
      </c>
      <c r="C1668" s="508" t="s">
        <v>397</v>
      </c>
      <c r="D1668" s="509">
        <v>1.6E-2</v>
      </c>
      <c r="E1668" s="509">
        <v>1.6E-2</v>
      </c>
      <c r="F1668" s="509">
        <v>1.6E-2</v>
      </c>
      <c r="G1668" s="509"/>
      <c r="H1668" s="509">
        <v>1.6E-2</v>
      </c>
      <c r="I1668" s="509">
        <f>'Cálculos Cambalache (60%)'!F50</f>
        <v>1.6E-2</v>
      </c>
      <c r="J1668" s="508"/>
    </row>
    <row r="1669" spans="1:10" ht="21" customHeight="1">
      <c r="A1669" s="507" t="s">
        <v>1125</v>
      </c>
      <c r="B1669" s="508" t="s">
        <v>630</v>
      </c>
      <c r="C1669" s="508" t="s">
        <v>411</v>
      </c>
      <c r="D1669" s="509">
        <f>$D$1602</f>
        <v>12</v>
      </c>
      <c r="E1669" s="509">
        <f>$E$1602</f>
        <v>14</v>
      </c>
      <c r="F1669" s="509">
        <f>$F$1602</f>
        <v>12</v>
      </c>
      <c r="G1669" s="509"/>
      <c r="H1669" s="509">
        <f>$H$1602</f>
        <v>23</v>
      </c>
      <c r="I1669" s="509">
        <f>$I$1602</f>
        <v>11</v>
      </c>
      <c r="J1669" s="508"/>
    </row>
    <row r="1670" spans="1:10" ht="21" customHeight="1">
      <c r="A1670" s="507" t="s">
        <v>1125</v>
      </c>
      <c r="B1670" s="508" t="s">
        <v>631</v>
      </c>
      <c r="C1670" s="508" t="s">
        <v>397</v>
      </c>
      <c r="D1670" s="509">
        <v>2.3E-2</v>
      </c>
      <c r="E1670" s="509">
        <v>2.3E-2</v>
      </c>
      <c r="F1670" s="509">
        <v>2.3E-2</v>
      </c>
      <c r="G1670" s="509"/>
      <c r="H1670" s="509">
        <v>2.3E-2</v>
      </c>
      <c r="I1670" s="509">
        <f>'Cálculos Cambalache (60%)'!M50</f>
        <v>2.3E-2</v>
      </c>
      <c r="J1670" s="508"/>
    </row>
    <row r="1671" spans="1:10" ht="21" customHeight="1">
      <c r="A1671" s="507" t="s">
        <v>1125</v>
      </c>
      <c r="B1671" s="508" t="s">
        <v>632</v>
      </c>
      <c r="C1671" s="508" t="s">
        <v>411</v>
      </c>
      <c r="D1671" s="509">
        <f>$D$1599</f>
        <v>0</v>
      </c>
      <c r="E1671" s="509">
        <f>$E$1599</f>
        <v>0</v>
      </c>
      <c r="F1671" s="509">
        <f>$F$1599</f>
        <v>40</v>
      </c>
      <c r="G1671" s="509"/>
      <c r="H1671" s="509">
        <f>$H$1599</f>
        <v>63</v>
      </c>
      <c r="I1671" s="509">
        <f>$I$1599</f>
        <v>114</v>
      </c>
      <c r="J1671" s="508"/>
    </row>
    <row r="1672" spans="1:10" ht="21" customHeight="1">
      <c r="A1672" s="507" t="s">
        <v>1125</v>
      </c>
      <c r="B1672" s="508" t="s">
        <v>1179</v>
      </c>
      <c r="C1672" s="508" t="s">
        <v>397</v>
      </c>
      <c r="D1672" s="509">
        <v>1.6E-2</v>
      </c>
      <c r="E1672" s="509">
        <v>1.6E-2</v>
      </c>
      <c r="F1672" s="509">
        <v>1.6E-2</v>
      </c>
      <c r="G1672" s="509"/>
      <c r="H1672" s="509">
        <v>1.6E-2</v>
      </c>
      <c r="I1672" s="509">
        <f>'Cálculos Cambalache (60%)'!Q50</f>
        <v>1.6E-2</v>
      </c>
      <c r="J1672" s="508"/>
    </row>
    <row r="1673" spans="1:10" ht="21" customHeight="1">
      <c r="A1673" s="507" t="s">
        <v>1125</v>
      </c>
      <c r="B1673" s="508" t="s">
        <v>1180</v>
      </c>
      <c r="C1673" s="508" t="s">
        <v>411</v>
      </c>
      <c r="D1673" s="509">
        <f>$D$1603</f>
        <v>0</v>
      </c>
      <c r="E1673" s="509">
        <f>$E$1603</f>
        <v>0</v>
      </c>
      <c r="F1673" s="509">
        <f>$F$1603</f>
        <v>17</v>
      </c>
      <c r="G1673" s="509"/>
      <c r="H1673" s="509">
        <f>$H$1603</f>
        <v>83</v>
      </c>
      <c r="I1673" s="509">
        <f>$I$1603</f>
        <v>47</v>
      </c>
      <c r="J1673" s="508"/>
    </row>
    <row r="1674" spans="1:10" ht="21" customHeight="1">
      <c r="A1674" s="507" t="s">
        <v>1125</v>
      </c>
      <c r="B1674" s="508" t="s">
        <v>1181</v>
      </c>
      <c r="C1674" s="508" t="s">
        <v>397</v>
      </c>
      <c r="D1674" s="509">
        <v>2000</v>
      </c>
      <c r="E1674" s="509">
        <v>2000</v>
      </c>
      <c r="F1674" s="509">
        <v>2000</v>
      </c>
      <c r="G1674" s="509"/>
      <c r="H1674" s="509">
        <v>2000</v>
      </c>
      <c r="I1674" s="509">
        <f>'Cálculos Cambalache (60%)'!J51</f>
        <v>2000</v>
      </c>
      <c r="J1674" s="508"/>
    </row>
    <row r="1675" spans="1:10" ht="21" customHeight="1">
      <c r="A1675" s="507" t="s">
        <v>1125</v>
      </c>
      <c r="B1675" s="508" t="s">
        <v>1182</v>
      </c>
      <c r="C1675" s="508" t="s">
        <v>397</v>
      </c>
      <c r="D1675" s="509">
        <v>2000</v>
      </c>
      <c r="E1675" s="509">
        <v>2000</v>
      </c>
      <c r="F1675" s="509">
        <v>2000</v>
      </c>
      <c r="G1675" s="509"/>
      <c r="H1675" s="509">
        <v>2000</v>
      </c>
      <c r="I1675" s="509">
        <f>'Cálculos Cambalache (60%)'!U51</f>
        <v>2000</v>
      </c>
      <c r="J1675" s="508"/>
    </row>
    <row r="1676" spans="1:10" ht="21" customHeight="1">
      <c r="A1676" s="507" t="s">
        <v>1125</v>
      </c>
      <c r="B1676" s="508" t="s">
        <v>634</v>
      </c>
      <c r="C1676" s="508" t="s">
        <v>411</v>
      </c>
      <c r="D1676" s="509">
        <f>(($D$1666*$D$1667)+($D$1668*$D$1669))/$D$1674</f>
        <v>1.65E-4</v>
      </c>
      <c r="E1676" s="509">
        <f>(($E$1666*$E$1667)+($E$1668*$E$1669))/$E$1674</f>
        <v>3.4199999999999996E-4</v>
      </c>
      <c r="F1676" s="509">
        <f>(($F$1666*$F$1667)+($F$1668*$F$1669))/$F$1674</f>
        <v>3.9500000000000001E-4</v>
      </c>
      <c r="G1676" s="509"/>
      <c r="H1676" s="509">
        <f>(($H$1666*$H$1667)+($H$1668*$H$1669))/$H$1674</f>
        <v>4.4850000000000001E-4</v>
      </c>
      <c r="I1676" s="509">
        <f>(($I$1666*$I$1667)+($I$1668*$I$1669))/$I$1674</f>
        <v>4.215E-4</v>
      </c>
      <c r="J1676" s="508"/>
    </row>
    <row r="1677" spans="1:10" ht="21" customHeight="1">
      <c r="A1677" s="507" t="s">
        <v>1125</v>
      </c>
      <c r="B1677" s="508" t="s">
        <v>1183</v>
      </c>
      <c r="C1677" s="508" t="s">
        <v>411</v>
      </c>
      <c r="D1677" s="509">
        <f>(($D$1670*$D$1671)+($D$1672*$D$1673))/$D$1675</f>
        <v>0</v>
      </c>
      <c r="E1677" s="509">
        <f>(($E$1670*$E$1671)+($E$1672*$E$1673))/$E$1675</f>
        <v>0</v>
      </c>
      <c r="F1677" s="509">
        <f>(($F$1670*$F$1671)+($F$1672*$F$1673))/$F$1675</f>
        <v>5.9599999999999996E-4</v>
      </c>
      <c r="G1677" s="509"/>
      <c r="H1677" s="509">
        <f>(($H$1670*$H$1671)+($H$1672*$H$1673))/$H$1675</f>
        <v>1.3885E-3</v>
      </c>
      <c r="I1677" s="509">
        <f>(($I$1670*$I$1671)+($I$1672*$I$1673))/$I$1675</f>
        <v>1.6869999999999999E-3</v>
      </c>
      <c r="J1677" s="508"/>
    </row>
    <row r="1678" spans="1:10" ht="21" customHeight="1">
      <c r="A1678" s="507" t="s">
        <v>1125</v>
      </c>
      <c r="B1678" s="508" t="s">
        <v>1184</v>
      </c>
      <c r="C1678" s="508" t="s">
        <v>397</v>
      </c>
      <c r="D1678" s="509"/>
      <c r="E1678" s="509"/>
      <c r="F1678" s="509"/>
      <c r="G1678" s="509"/>
      <c r="H1678" s="509">
        <v>22.577999999999999</v>
      </c>
      <c r="I1678" s="509">
        <f>'Cálculos Cambalache (60%)'!B61</f>
        <v>22.577999999999999</v>
      </c>
      <c r="J1678" s="508"/>
    </row>
    <row r="1679" spans="1:10" ht="21" customHeight="1">
      <c r="A1679" s="507" t="s">
        <v>1125</v>
      </c>
      <c r="B1679" s="508" t="s">
        <v>1185</v>
      </c>
      <c r="C1679" s="508" t="s">
        <v>411</v>
      </c>
      <c r="D1679" s="509"/>
      <c r="E1679" s="509"/>
      <c r="F1679" s="509"/>
      <c r="G1679" s="509"/>
      <c r="H1679" s="509">
        <f>SUM($H$1592+$H$1593)</f>
        <v>1317088</v>
      </c>
      <c r="I1679" s="509">
        <f>SUM($I$1592+$I$1593)</f>
        <v>1275268</v>
      </c>
      <c r="J1679" s="508"/>
    </row>
    <row r="1680" spans="1:10" ht="21" customHeight="1">
      <c r="A1680" s="507" t="s">
        <v>1125</v>
      </c>
      <c r="B1680" s="508" t="s">
        <v>1186</v>
      </c>
      <c r="C1680" s="508" t="s">
        <v>397</v>
      </c>
      <c r="D1680" s="509"/>
      <c r="E1680" s="509"/>
      <c r="F1680" s="509"/>
      <c r="G1680" s="509"/>
      <c r="H1680" s="509">
        <v>2000</v>
      </c>
      <c r="I1680" s="509">
        <f>'Cálculos Cambalache (60%)'!F62</f>
        <v>2000</v>
      </c>
      <c r="J1680" s="508"/>
    </row>
    <row r="1681" spans="1:10" ht="21" customHeight="1">
      <c r="A1681" s="507" t="s">
        <v>1125</v>
      </c>
      <c r="B1681" s="508" t="s">
        <v>647</v>
      </c>
      <c r="C1681" s="508" t="s">
        <v>411</v>
      </c>
      <c r="D1681" s="509"/>
      <c r="E1681" s="509"/>
      <c r="F1681" s="509"/>
      <c r="G1681" s="509"/>
      <c r="H1681" s="509">
        <f>$H$1678*$H$1679/$H$1680</f>
        <v>14868.606432</v>
      </c>
      <c r="I1681" s="509">
        <f>$I$1678*$I$1679/$I$1680</f>
        <v>14396.500452</v>
      </c>
      <c r="J1681" s="508"/>
    </row>
    <row r="1682" spans="1:10" ht="21" customHeight="1">
      <c r="A1682" s="507" t="s">
        <v>1125</v>
      </c>
      <c r="B1682" s="508" t="s">
        <v>740</v>
      </c>
      <c r="C1682" s="508" t="s">
        <v>397</v>
      </c>
      <c r="D1682" s="509"/>
      <c r="E1682" s="509">
        <v>22.577999999999999</v>
      </c>
      <c r="F1682" s="509">
        <v>22.577999999999999</v>
      </c>
      <c r="G1682" s="509"/>
      <c r="H1682" s="509"/>
      <c r="I1682" s="509"/>
      <c r="J1682" s="508"/>
    </row>
    <row r="1683" spans="1:10" ht="21" customHeight="1">
      <c r="A1683" s="507" t="s">
        <v>1125</v>
      </c>
      <c r="B1683" s="508" t="s">
        <v>741</v>
      </c>
      <c r="C1683" s="508" t="s">
        <v>411</v>
      </c>
      <c r="D1683" s="509"/>
      <c r="E1683" s="509">
        <f>SUM($E$1592+$E$1593)</f>
        <v>244918</v>
      </c>
      <c r="F1683" s="509">
        <f>SUM($F$1592+$F$1593)</f>
        <v>781739</v>
      </c>
      <c r="G1683" s="509"/>
      <c r="H1683" s="509"/>
      <c r="I1683" s="509"/>
      <c r="J1683" s="508"/>
    </row>
    <row r="1684" spans="1:10" ht="21" customHeight="1">
      <c r="A1684" s="507" t="s">
        <v>1125</v>
      </c>
      <c r="B1684" s="508" t="s">
        <v>743</v>
      </c>
      <c r="C1684" s="508" t="s">
        <v>397</v>
      </c>
      <c r="D1684" s="509"/>
      <c r="E1684" s="509">
        <v>2000</v>
      </c>
      <c r="F1684" s="509">
        <v>2000</v>
      </c>
      <c r="G1684" s="509"/>
      <c r="H1684" s="509"/>
      <c r="I1684" s="509"/>
      <c r="J1684" s="508"/>
    </row>
    <row r="1685" spans="1:10" ht="21" customHeight="1">
      <c r="A1685" s="507" t="s">
        <v>1125</v>
      </c>
      <c r="B1685" s="508" t="s">
        <v>1187</v>
      </c>
      <c r="C1685" s="508" t="s">
        <v>411</v>
      </c>
      <c r="D1685" s="509"/>
      <c r="E1685" s="509">
        <f>$E$1682*$E$1683/$E$1684</f>
        <v>2764.8793020000003</v>
      </c>
      <c r="F1685" s="509">
        <f>$F$1682*$F$1683/$F$1684</f>
        <v>8825.051571</v>
      </c>
      <c r="G1685" s="509"/>
      <c r="H1685" s="509"/>
      <c r="I1685" s="509"/>
      <c r="J1685" s="508"/>
    </row>
    <row r="1686" spans="1:10" ht="21" customHeight="1">
      <c r="A1686" s="510" t="s">
        <v>1188</v>
      </c>
      <c r="B1686" s="506"/>
      <c r="C1686" s="506"/>
      <c r="D1686" s="511"/>
      <c r="E1686" s="511"/>
      <c r="F1686" s="511"/>
      <c r="G1686" s="511"/>
      <c r="H1686" s="511"/>
      <c r="I1686" s="512"/>
      <c r="J1686" s="506"/>
    </row>
    <row r="1687" spans="1:10" ht="21" customHeight="1">
      <c r="A1687" s="507" t="s">
        <v>1188</v>
      </c>
      <c r="B1687" s="508" t="s">
        <v>409</v>
      </c>
      <c r="C1687" s="508" t="s">
        <v>411</v>
      </c>
      <c r="D1687" s="509">
        <f>$D$1691</f>
        <v>4868.1000000000004</v>
      </c>
      <c r="E1687" s="509">
        <f>$E$1691</f>
        <v>0</v>
      </c>
      <c r="F1687" s="509">
        <f>$F$1691</f>
        <v>0</v>
      </c>
      <c r="G1687" s="509">
        <f>$G$1691</f>
        <v>0</v>
      </c>
      <c r="H1687" s="509">
        <f>$H$1691</f>
        <v>0</v>
      </c>
      <c r="I1687" s="509">
        <f>$I$1691</f>
        <v>0</v>
      </c>
      <c r="J1687" s="508"/>
    </row>
    <row r="1688" spans="1:10" ht="21" customHeight="1">
      <c r="A1688" s="507" t="s">
        <v>1188</v>
      </c>
      <c r="B1688" s="508" t="s">
        <v>410</v>
      </c>
      <c r="C1688" s="508" t="s">
        <v>411</v>
      </c>
      <c r="D1688" s="509">
        <f>$D$1694</f>
        <v>1298</v>
      </c>
      <c r="E1688" s="509">
        <f>$E$1694</f>
        <v>0</v>
      </c>
      <c r="F1688" s="509">
        <f>$F$1694</f>
        <v>0</v>
      </c>
      <c r="G1688" s="509">
        <f>$G$1694</f>
        <v>0</v>
      </c>
      <c r="H1688" s="509">
        <f>$H$1694</f>
        <v>0</v>
      </c>
      <c r="I1688" s="509">
        <f>$I$1694</f>
        <v>0</v>
      </c>
      <c r="J1688" s="508"/>
    </row>
    <row r="1689" spans="1:10" ht="21" customHeight="1">
      <c r="A1689" s="507" t="s">
        <v>1188</v>
      </c>
      <c r="B1689" s="508" t="s">
        <v>678</v>
      </c>
      <c r="C1689" s="508" t="s">
        <v>397</v>
      </c>
      <c r="D1689" s="509">
        <v>4868.1000000000004</v>
      </c>
      <c r="E1689" s="509"/>
      <c r="F1689" s="509"/>
      <c r="G1689" s="509"/>
      <c r="H1689" s="509"/>
      <c r="I1689" s="509"/>
      <c r="J1689" s="508"/>
    </row>
    <row r="1690" spans="1:10" ht="21" customHeight="1">
      <c r="A1690" s="507" t="s">
        <v>1188</v>
      </c>
      <c r="B1690" s="508" t="s">
        <v>418</v>
      </c>
      <c r="C1690" s="508" t="s">
        <v>397</v>
      </c>
      <c r="D1690" s="509">
        <v>0</v>
      </c>
      <c r="E1690" s="509"/>
      <c r="F1690" s="509"/>
      <c r="G1690" s="509"/>
      <c r="H1690" s="509"/>
      <c r="I1690" s="509"/>
      <c r="J1690" s="508"/>
    </row>
    <row r="1691" spans="1:10" ht="21" customHeight="1">
      <c r="A1691" s="507" t="s">
        <v>1188</v>
      </c>
      <c r="B1691" s="508" t="s">
        <v>419</v>
      </c>
      <c r="C1691" s="508" t="s">
        <v>411</v>
      </c>
      <c r="D1691" s="509">
        <f>SUM($D$1689,$D$1690)</f>
        <v>4868.1000000000004</v>
      </c>
      <c r="E1691" s="509">
        <f>SUM($E$1689,$E$1690)</f>
        <v>0</v>
      </c>
      <c r="F1691" s="509">
        <f>SUM($F$1689,$F$1690)</f>
        <v>0</v>
      </c>
      <c r="G1691" s="509">
        <f>SUM($G$1689,$G$1690)</f>
        <v>0</v>
      </c>
      <c r="H1691" s="509">
        <f>SUM($H$1689,$H$1690)</f>
        <v>0</v>
      </c>
      <c r="I1691" s="509">
        <f>SUM($I$1689,$I$1690)</f>
        <v>0</v>
      </c>
      <c r="J1691" s="508"/>
    </row>
    <row r="1692" spans="1:10" ht="21" customHeight="1">
      <c r="A1692" s="507" t="s">
        <v>1188</v>
      </c>
      <c r="B1692" s="508" t="s">
        <v>950</v>
      </c>
      <c r="C1692" s="508" t="s">
        <v>397</v>
      </c>
      <c r="D1692" s="509">
        <v>1298</v>
      </c>
      <c r="E1692" s="509"/>
      <c r="F1692" s="509"/>
      <c r="G1692" s="509"/>
      <c r="H1692" s="509"/>
      <c r="I1692" s="509"/>
      <c r="J1692" s="508"/>
    </row>
    <row r="1693" spans="1:10" ht="21" customHeight="1">
      <c r="A1693" s="507" t="s">
        <v>1188</v>
      </c>
      <c r="B1693" s="508" t="s">
        <v>951</v>
      </c>
      <c r="C1693" s="508" t="s">
        <v>397</v>
      </c>
      <c r="D1693" s="509">
        <v>0</v>
      </c>
      <c r="E1693" s="509"/>
      <c r="F1693" s="509"/>
      <c r="G1693" s="509"/>
      <c r="H1693" s="509"/>
      <c r="I1693" s="509"/>
      <c r="J1693" s="508"/>
    </row>
    <row r="1694" spans="1:10" ht="21" customHeight="1">
      <c r="A1694" s="507" t="s">
        <v>1188</v>
      </c>
      <c r="B1694" s="508" t="s">
        <v>1189</v>
      </c>
      <c r="C1694" s="508" t="s">
        <v>411</v>
      </c>
      <c r="D1694" s="509">
        <f>SUM($D$1692,$D$1693)</f>
        <v>1298</v>
      </c>
      <c r="E1694" s="509">
        <f>SUM($E$1692,$E$1693)</f>
        <v>0</v>
      </c>
      <c r="F1694" s="509">
        <f>SUM($F$1692,$F$1693)</f>
        <v>0</v>
      </c>
      <c r="G1694" s="509">
        <f>SUM($G$1692,$G$1693)</f>
        <v>0</v>
      </c>
      <c r="H1694" s="509">
        <f>SUM($H$1692,$H$1693)</f>
        <v>0</v>
      </c>
      <c r="I1694" s="509">
        <f>SUM($I$1692,$I$1693)</f>
        <v>0</v>
      </c>
      <c r="J1694" s="508"/>
    </row>
    <row r="1695" spans="1:10" ht="21" customHeight="1">
      <c r="A1695" s="507" t="s">
        <v>1188</v>
      </c>
      <c r="B1695" s="508" t="s">
        <v>422</v>
      </c>
      <c r="C1695" s="508" t="s">
        <v>411</v>
      </c>
      <c r="D1695" s="509">
        <f>$D$1699</f>
        <v>0</v>
      </c>
      <c r="E1695" s="509">
        <f>$E$1699</f>
        <v>6794.9</v>
      </c>
      <c r="F1695" s="509">
        <f>$F$1699</f>
        <v>0</v>
      </c>
      <c r="G1695" s="509">
        <f>$G$1699</f>
        <v>0</v>
      </c>
      <c r="H1695" s="509">
        <f>$H$1699</f>
        <v>0</v>
      </c>
      <c r="I1695" s="509">
        <f>$I$1699</f>
        <v>0</v>
      </c>
      <c r="J1695" s="508"/>
    </row>
    <row r="1696" spans="1:10" ht="21" customHeight="1">
      <c r="A1696" s="507" t="s">
        <v>1188</v>
      </c>
      <c r="B1696" s="508" t="s">
        <v>423</v>
      </c>
      <c r="C1696" s="508" t="s">
        <v>411</v>
      </c>
      <c r="D1696" s="509">
        <f>$D$1702</f>
        <v>0</v>
      </c>
      <c r="E1696" s="509">
        <f>$E$1702</f>
        <v>1436</v>
      </c>
      <c r="F1696" s="509">
        <f>$F$1702</f>
        <v>0</v>
      </c>
      <c r="G1696" s="509">
        <f>$G$1702</f>
        <v>0</v>
      </c>
      <c r="H1696" s="509">
        <f>$H$1702</f>
        <v>0</v>
      </c>
      <c r="I1696" s="509">
        <f>$I$1702</f>
        <v>0</v>
      </c>
      <c r="J1696" s="508"/>
    </row>
    <row r="1697" spans="1:10" ht="21" customHeight="1">
      <c r="A1697" s="507" t="s">
        <v>1188</v>
      </c>
      <c r="B1697" s="508" t="s">
        <v>681</v>
      </c>
      <c r="C1697" s="508" t="s">
        <v>397</v>
      </c>
      <c r="D1697" s="509"/>
      <c r="E1697" s="509">
        <v>6794.9</v>
      </c>
      <c r="F1697" s="509"/>
      <c r="G1697" s="509"/>
      <c r="H1697" s="509"/>
      <c r="I1697" s="509"/>
      <c r="J1697" s="508"/>
    </row>
    <row r="1698" spans="1:10" ht="21" customHeight="1">
      <c r="A1698" s="507" t="s">
        <v>1188</v>
      </c>
      <c r="B1698" s="508" t="s">
        <v>429</v>
      </c>
      <c r="C1698" s="508" t="s">
        <v>397</v>
      </c>
      <c r="D1698" s="509"/>
      <c r="E1698" s="509">
        <v>0</v>
      </c>
      <c r="F1698" s="509"/>
      <c r="G1698" s="509"/>
      <c r="H1698" s="509"/>
      <c r="I1698" s="509"/>
      <c r="J1698" s="508"/>
    </row>
    <row r="1699" spans="1:10" ht="21" customHeight="1">
      <c r="A1699" s="507" t="s">
        <v>1188</v>
      </c>
      <c r="B1699" s="508" t="s">
        <v>430</v>
      </c>
      <c r="C1699" s="508" t="s">
        <v>411</v>
      </c>
      <c r="D1699" s="509">
        <f>SUM($D$1697,$D$1698)</f>
        <v>0</v>
      </c>
      <c r="E1699" s="509">
        <f>SUM($E$1697,$E$1698)</f>
        <v>6794.9</v>
      </c>
      <c r="F1699" s="509">
        <f>SUM($F$1697,$F$1698)</f>
        <v>0</v>
      </c>
      <c r="G1699" s="509">
        <f>SUM($G$1697,$G$1698)</f>
        <v>0</v>
      </c>
      <c r="H1699" s="509">
        <f>SUM($H$1697,$H$1698)</f>
        <v>0</v>
      </c>
      <c r="I1699" s="509">
        <f>SUM($I$1697,$I$1698)</f>
        <v>0</v>
      </c>
      <c r="J1699" s="508"/>
    </row>
    <row r="1700" spans="1:10" ht="21" customHeight="1">
      <c r="A1700" s="507" t="s">
        <v>1188</v>
      </c>
      <c r="B1700" s="508" t="s">
        <v>964</v>
      </c>
      <c r="C1700" s="508" t="s">
        <v>397</v>
      </c>
      <c r="D1700" s="509"/>
      <c r="E1700" s="509">
        <v>1436</v>
      </c>
      <c r="F1700" s="509"/>
      <c r="G1700" s="509"/>
      <c r="H1700" s="509"/>
      <c r="I1700" s="509"/>
      <c r="J1700" s="508"/>
    </row>
    <row r="1701" spans="1:10" ht="21" customHeight="1">
      <c r="A1701" s="507" t="s">
        <v>1188</v>
      </c>
      <c r="B1701" s="508" t="s">
        <v>965</v>
      </c>
      <c r="C1701" s="508" t="s">
        <v>397</v>
      </c>
      <c r="D1701" s="509"/>
      <c r="E1701" s="509">
        <v>0</v>
      </c>
      <c r="F1701" s="509"/>
      <c r="G1701" s="509"/>
      <c r="H1701" s="509"/>
      <c r="I1701" s="509"/>
      <c r="J1701" s="508"/>
    </row>
    <row r="1702" spans="1:10" ht="21" customHeight="1">
      <c r="A1702" s="507" t="s">
        <v>1188</v>
      </c>
      <c r="B1702" s="508" t="s">
        <v>1190</v>
      </c>
      <c r="C1702" s="508" t="s">
        <v>411</v>
      </c>
      <c r="D1702" s="509">
        <f>SUM($D$1700,$D$1701)</f>
        <v>0</v>
      </c>
      <c r="E1702" s="509">
        <f>SUM($E$1700,$E$1701)</f>
        <v>1436</v>
      </c>
      <c r="F1702" s="509">
        <f>SUM($F$1700,$F$1701)</f>
        <v>0</v>
      </c>
      <c r="G1702" s="509">
        <f>SUM($G$1700,$G$1701)</f>
        <v>0</v>
      </c>
      <c r="H1702" s="509">
        <f>SUM($H$1700,$H$1701)</f>
        <v>0</v>
      </c>
      <c r="I1702" s="509">
        <f>SUM($I$1700,$I$1701)</f>
        <v>0</v>
      </c>
      <c r="J1702" s="508"/>
    </row>
    <row r="1703" spans="1:10" ht="21" customHeight="1">
      <c r="A1703" s="507" t="s">
        <v>1188</v>
      </c>
      <c r="B1703" s="508" t="s">
        <v>433</v>
      </c>
      <c r="C1703" s="508" t="s">
        <v>411</v>
      </c>
      <c r="D1703" s="509">
        <f>$D$1707</f>
        <v>0</v>
      </c>
      <c r="E1703" s="509">
        <f>$E$1707</f>
        <v>0</v>
      </c>
      <c r="F1703" s="509">
        <f>$F$1707</f>
        <v>19011.599999999999</v>
      </c>
      <c r="G1703" s="509">
        <f>$G$1707</f>
        <v>0</v>
      </c>
      <c r="H1703" s="509">
        <f>$H$1707</f>
        <v>0</v>
      </c>
      <c r="I1703" s="509">
        <f>$I$1707</f>
        <v>0</v>
      </c>
      <c r="J1703" s="508"/>
    </row>
    <row r="1704" spans="1:10" ht="21" customHeight="1">
      <c r="A1704" s="507" t="s">
        <v>1188</v>
      </c>
      <c r="B1704" s="508" t="s">
        <v>434</v>
      </c>
      <c r="C1704" s="508" t="s">
        <v>411</v>
      </c>
      <c r="D1704" s="509">
        <f>$D$1710</f>
        <v>0</v>
      </c>
      <c r="E1704" s="509">
        <f>$E$1710</f>
        <v>0</v>
      </c>
      <c r="F1704" s="509">
        <f>$F$1710</f>
        <v>4405</v>
      </c>
      <c r="G1704" s="509">
        <f>$G$1710</f>
        <v>0</v>
      </c>
      <c r="H1704" s="509">
        <f>$H$1710</f>
        <v>0</v>
      </c>
      <c r="I1704" s="509">
        <f>$I$1710</f>
        <v>0</v>
      </c>
      <c r="J1704" s="508"/>
    </row>
    <row r="1705" spans="1:10" ht="21" customHeight="1">
      <c r="A1705" s="507" t="s">
        <v>1188</v>
      </c>
      <c r="B1705" s="508" t="s">
        <v>683</v>
      </c>
      <c r="C1705" s="508" t="s">
        <v>397</v>
      </c>
      <c r="D1705" s="509"/>
      <c r="E1705" s="509"/>
      <c r="F1705" s="509">
        <v>6752.7</v>
      </c>
      <c r="G1705" s="509"/>
      <c r="H1705" s="509"/>
      <c r="I1705" s="509"/>
      <c r="J1705" s="508"/>
    </row>
    <row r="1706" spans="1:10" ht="21" customHeight="1">
      <c r="A1706" s="507" t="s">
        <v>1188</v>
      </c>
      <c r="B1706" s="508" t="s">
        <v>684</v>
      </c>
      <c r="C1706" s="508" t="s">
        <v>397</v>
      </c>
      <c r="D1706" s="509"/>
      <c r="E1706" s="509"/>
      <c r="F1706" s="509">
        <v>12258.9</v>
      </c>
      <c r="G1706" s="509"/>
      <c r="H1706" s="509"/>
      <c r="I1706" s="509"/>
      <c r="J1706" s="508"/>
    </row>
    <row r="1707" spans="1:10" ht="21" customHeight="1">
      <c r="A1707" s="507" t="s">
        <v>1188</v>
      </c>
      <c r="B1707" s="508" t="s">
        <v>685</v>
      </c>
      <c r="C1707" s="508" t="s">
        <v>411</v>
      </c>
      <c r="D1707" s="509">
        <f>SUM($D$1705,$D$1706)</f>
        <v>0</v>
      </c>
      <c r="E1707" s="509">
        <f>SUM($E$1705,$E$1706)</f>
        <v>0</v>
      </c>
      <c r="F1707" s="509">
        <f>SUM($F$1705,$F$1706)</f>
        <v>19011.599999999999</v>
      </c>
      <c r="G1707" s="509">
        <f>SUM($G$1705,$G$1706)</f>
        <v>0</v>
      </c>
      <c r="H1707" s="509">
        <f>SUM($H$1705,$H$1706)</f>
        <v>0</v>
      </c>
      <c r="I1707" s="509">
        <f>SUM($I$1705,$I$1706)</f>
        <v>0</v>
      </c>
      <c r="J1707" s="508"/>
    </row>
    <row r="1708" spans="1:10" ht="21" customHeight="1">
      <c r="A1708" s="507" t="s">
        <v>1188</v>
      </c>
      <c r="B1708" s="508" t="s">
        <v>978</v>
      </c>
      <c r="C1708" s="508" t="s">
        <v>397</v>
      </c>
      <c r="D1708" s="509"/>
      <c r="E1708" s="509"/>
      <c r="F1708" s="509">
        <v>1643</v>
      </c>
      <c r="G1708" s="509"/>
      <c r="H1708" s="509"/>
      <c r="I1708" s="509"/>
      <c r="J1708" s="508"/>
    </row>
    <row r="1709" spans="1:10" ht="21" customHeight="1">
      <c r="A1709" s="507" t="s">
        <v>1188</v>
      </c>
      <c r="B1709" s="508" t="s">
        <v>979</v>
      </c>
      <c r="C1709" s="508" t="s">
        <v>397</v>
      </c>
      <c r="D1709" s="509"/>
      <c r="E1709" s="509"/>
      <c r="F1709" s="509">
        <v>2762</v>
      </c>
      <c r="G1709" s="509"/>
      <c r="H1709" s="509"/>
      <c r="I1709" s="509"/>
      <c r="J1709" s="508"/>
    </row>
    <row r="1710" spans="1:10" ht="21" customHeight="1">
      <c r="A1710" s="507" t="s">
        <v>1188</v>
      </c>
      <c r="B1710" s="508" t="s">
        <v>1191</v>
      </c>
      <c r="C1710" s="508" t="s">
        <v>411</v>
      </c>
      <c r="D1710" s="509">
        <f>SUM($D$1708,$D$1709)</f>
        <v>0</v>
      </c>
      <c r="E1710" s="509">
        <f>SUM($E$1708,$E$1709)</f>
        <v>0</v>
      </c>
      <c r="F1710" s="509">
        <f>SUM($F$1708,$F$1709)</f>
        <v>4405</v>
      </c>
      <c r="G1710" s="509">
        <f>SUM($G$1708,$G$1709)</f>
        <v>0</v>
      </c>
      <c r="H1710" s="509">
        <f>SUM($H$1708,$H$1709)</f>
        <v>0</v>
      </c>
      <c r="I1710" s="509">
        <f>SUM($I$1708,$I$1709)</f>
        <v>0</v>
      </c>
      <c r="J1710" s="508"/>
    </row>
    <row r="1711" spans="1:10" ht="21" customHeight="1">
      <c r="A1711" s="507" t="s">
        <v>1188</v>
      </c>
      <c r="B1711" s="508" t="s">
        <v>442</v>
      </c>
      <c r="C1711" s="508" t="s">
        <v>411</v>
      </c>
      <c r="D1711" s="509">
        <f>$D$1715</f>
        <v>0</v>
      </c>
      <c r="E1711" s="509">
        <f>$E$1715</f>
        <v>0</v>
      </c>
      <c r="F1711" s="509">
        <f>$F$1715</f>
        <v>0</v>
      </c>
      <c r="G1711" s="509">
        <f>$G$1715</f>
        <v>29495.200000000001</v>
      </c>
      <c r="H1711" s="509">
        <f>$H$1715</f>
        <v>0</v>
      </c>
      <c r="I1711" s="509">
        <f>$I$1715</f>
        <v>0</v>
      </c>
      <c r="J1711" s="508"/>
    </row>
    <row r="1712" spans="1:10" ht="21" customHeight="1">
      <c r="A1712" s="507" t="s">
        <v>1188</v>
      </c>
      <c r="B1712" s="508" t="s">
        <v>443</v>
      </c>
      <c r="C1712" s="508" t="s">
        <v>411</v>
      </c>
      <c r="D1712" s="509">
        <f>$D$1718</f>
        <v>0</v>
      </c>
      <c r="E1712" s="509">
        <f>$E$1718</f>
        <v>0</v>
      </c>
      <c r="F1712" s="509">
        <f>$F$1718</f>
        <v>0</v>
      </c>
      <c r="G1712" s="509">
        <f>$G$1718</f>
        <v>6740</v>
      </c>
      <c r="H1712" s="509">
        <f>$H$1718</f>
        <v>0</v>
      </c>
      <c r="I1712" s="509">
        <f>$I$1718</f>
        <v>0</v>
      </c>
      <c r="J1712" s="508"/>
    </row>
    <row r="1713" spans="1:10" ht="21" customHeight="1">
      <c r="A1713" s="507" t="s">
        <v>1188</v>
      </c>
      <c r="B1713" s="508" t="s">
        <v>687</v>
      </c>
      <c r="C1713" s="508" t="s">
        <v>397</v>
      </c>
      <c r="D1713" s="509"/>
      <c r="E1713" s="509"/>
      <c r="F1713" s="509"/>
      <c r="G1713" s="509">
        <v>9269.2000000000007</v>
      </c>
      <c r="H1713" s="509"/>
      <c r="I1713" s="509"/>
      <c r="J1713" s="508"/>
    </row>
    <row r="1714" spans="1:10" ht="21" customHeight="1">
      <c r="A1714" s="507" t="s">
        <v>1188</v>
      </c>
      <c r="B1714" s="508" t="s">
        <v>688</v>
      </c>
      <c r="C1714" s="508" t="s">
        <v>397</v>
      </c>
      <c r="D1714" s="509"/>
      <c r="E1714" s="509"/>
      <c r="F1714" s="509"/>
      <c r="G1714" s="509">
        <v>20226</v>
      </c>
      <c r="H1714" s="509"/>
      <c r="I1714" s="509"/>
      <c r="J1714" s="508"/>
    </row>
    <row r="1715" spans="1:10" ht="21" customHeight="1">
      <c r="A1715" s="507" t="s">
        <v>1188</v>
      </c>
      <c r="B1715" s="508" t="s">
        <v>689</v>
      </c>
      <c r="C1715" s="508" t="s">
        <v>411</v>
      </c>
      <c r="D1715" s="509">
        <f>SUM($D$1713,$D$1714)</f>
        <v>0</v>
      </c>
      <c r="E1715" s="509">
        <f>SUM($E$1713,$E$1714)</f>
        <v>0</v>
      </c>
      <c r="F1715" s="509">
        <f>SUM($F$1713,$F$1714)</f>
        <v>0</v>
      </c>
      <c r="G1715" s="509">
        <f>SUM($G$1713,$G$1714)</f>
        <v>29495.200000000001</v>
      </c>
      <c r="H1715" s="509">
        <f>SUM($H$1713,$H$1714)</f>
        <v>0</v>
      </c>
      <c r="I1715" s="509">
        <f>SUM($I$1713,$I$1714)</f>
        <v>0</v>
      </c>
      <c r="J1715" s="508"/>
    </row>
    <row r="1716" spans="1:10" ht="21" customHeight="1">
      <c r="A1716" s="507" t="s">
        <v>1188</v>
      </c>
      <c r="B1716" s="508" t="s">
        <v>993</v>
      </c>
      <c r="C1716" s="508" t="s">
        <v>397</v>
      </c>
      <c r="D1716" s="509"/>
      <c r="E1716" s="509"/>
      <c r="F1716" s="509"/>
      <c r="G1716" s="509">
        <v>1880</v>
      </c>
      <c r="H1716" s="509"/>
      <c r="I1716" s="509"/>
      <c r="J1716" s="508"/>
    </row>
    <row r="1717" spans="1:10" ht="21" customHeight="1">
      <c r="A1717" s="507" t="s">
        <v>1188</v>
      </c>
      <c r="B1717" s="508" t="s">
        <v>994</v>
      </c>
      <c r="C1717" s="508" t="s">
        <v>397</v>
      </c>
      <c r="D1717" s="509"/>
      <c r="E1717" s="509"/>
      <c r="F1717" s="509"/>
      <c r="G1717" s="509">
        <v>4860</v>
      </c>
      <c r="H1717" s="509"/>
      <c r="I1717" s="509"/>
      <c r="J1717" s="508"/>
    </row>
    <row r="1718" spans="1:10" ht="21" customHeight="1">
      <c r="A1718" s="507" t="s">
        <v>1188</v>
      </c>
      <c r="B1718" s="508" t="s">
        <v>1192</v>
      </c>
      <c r="C1718" s="508" t="s">
        <v>411</v>
      </c>
      <c r="D1718" s="509">
        <f>SUM($D$1716,$D$1717)</f>
        <v>0</v>
      </c>
      <c r="E1718" s="509">
        <f>SUM($E$1716,$E$1717)</f>
        <v>0</v>
      </c>
      <c r="F1718" s="509">
        <f>SUM($F$1716,$F$1717)</f>
        <v>0</v>
      </c>
      <c r="G1718" s="509">
        <f>SUM($G$1716,$G$1717)</f>
        <v>6740</v>
      </c>
      <c r="H1718" s="509">
        <f>SUM($H$1716,$H$1717)</f>
        <v>0</v>
      </c>
      <c r="I1718" s="509">
        <f>SUM($I$1716,$I$1717)</f>
        <v>0</v>
      </c>
      <c r="J1718" s="508"/>
    </row>
    <row r="1719" spans="1:10" ht="21" customHeight="1">
      <c r="A1719" s="507" t="s">
        <v>1188</v>
      </c>
      <c r="B1719" s="508" t="s">
        <v>452</v>
      </c>
      <c r="C1719" s="508" t="s">
        <v>411</v>
      </c>
      <c r="D1719" s="509">
        <f>$D$1723</f>
        <v>0</v>
      </c>
      <c r="E1719" s="509">
        <f>$E$1723</f>
        <v>0</v>
      </c>
      <c r="F1719" s="509">
        <f>$F$1723</f>
        <v>0</v>
      </c>
      <c r="G1719" s="509">
        <f>$G$1723</f>
        <v>0</v>
      </c>
      <c r="H1719" s="509">
        <f>$H$1723</f>
        <v>28263.100000000002</v>
      </c>
      <c r="I1719" s="509">
        <f>$I$1723</f>
        <v>0</v>
      </c>
      <c r="J1719" s="508"/>
    </row>
    <row r="1720" spans="1:10" ht="21" customHeight="1">
      <c r="A1720" s="507" t="s">
        <v>1188</v>
      </c>
      <c r="B1720" s="508" t="s">
        <v>453</v>
      </c>
      <c r="C1720" s="508" t="s">
        <v>411</v>
      </c>
      <c r="D1720" s="509">
        <f>$D$1726</f>
        <v>0</v>
      </c>
      <c r="E1720" s="509">
        <f>$E$1726</f>
        <v>0</v>
      </c>
      <c r="F1720" s="509">
        <f>$F$1726</f>
        <v>0</v>
      </c>
      <c r="G1720" s="509">
        <f>$G$1726</f>
        <v>0</v>
      </c>
      <c r="H1720" s="509">
        <f>$H$1726</f>
        <v>7348</v>
      </c>
      <c r="I1720" s="509">
        <f>$I$1726</f>
        <v>0</v>
      </c>
      <c r="J1720" s="508"/>
    </row>
    <row r="1721" spans="1:10" ht="21" customHeight="1">
      <c r="A1721" s="507" t="s">
        <v>1188</v>
      </c>
      <c r="B1721" s="508" t="s">
        <v>691</v>
      </c>
      <c r="C1721" s="508" t="s">
        <v>397</v>
      </c>
      <c r="D1721" s="509"/>
      <c r="E1721" s="509"/>
      <c r="F1721" s="509"/>
      <c r="G1721" s="509"/>
      <c r="H1721" s="509">
        <v>8315.2000000000007</v>
      </c>
      <c r="I1721" s="509"/>
      <c r="J1721" s="508"/>
    </row>
    <row r="1722" spans="1:10" ht="21" customHeight="1">
      <c r="A1722" s="507" t="s">
        <v>1188</v>
      </c>
      <c r="B1722" s="508" t="s">
        <v>692</v>
      </c>
      <c r="C1722" s="508" t="s">
        <v>397</v>
      </c>
      <c r="D1722" s="509"/>
      <c r="E1722" s="509"/>
      <c r="F1722" s="509"/>
      <c r="G1722" s="509"/>
      <c r="H1722" s="509">
        <v>19947.900000000001</v>
      </c>
      <c r="I1722" s="509"/>
      <c r="J1722" s="508"/>
    </row>
    <row r="1723" spans="1:10" ht="21" customHeight="1">
      <c r="A1723" s="507" t="s">
        <v>1188</v>
      </c>
      <c r="B1723" s="508" t="s">
        <v>693</v>
      </c>
      <c r="C1723" s="508" t="s">
        <v>411</v>
      </c>
      <c r="D1723" s="509">
        <f>SUM($D$1721,$D$1722)</f>
        <v>0</v>
      </c>
      <c r="E1723" s="509">
        <f>SUM($E$1721,$E$1722)</f>
        <v>0</v>
      </c>
      <c r="F1723" s="509">
        <f>SUM($F$1721,$F$1722)</f>
        <v>0</v>
      </c>
      <c r="G1723" s="509">
        <f>SUM($G$1721,$G$1722)</f>
        <v>0</v>
      </c>
      <c r="H1723" s="509">
        <f>SUM($H$1721,$H$1722)</f>
        <v>28263.100000000002</v>
      </c>
      <c r="I1723" s="509">
        <f>SUM($I$1721,$I$1722)</f>
        <v>0</v>
      </c>
      <c r="J1723" s="508"/>
    </row>
    <row r="1724" spans="1:10" ht="21" customHeight="1">
      <c r="A1724" s="507" t="s">
        <v>1188</v>
      </c>
      <c r="B1724" s="508" t="s">
        <v>1008</v>
      </c>
      <c r="C1724" s="508" t="s">
        <v>397</v>
      </c>
      <c r="D1724" s="509"/>
      <c r="E1724" s="509"/>
      <c r="F1724" s="509"/>
      <c r="G1724" s="509"/>
      <c r="H1724" s="509">
        <v>2020</v>
      </c>
      <c r="I1724" s="509"/>
      <c r="J1724" s="508"/>
    </row>
    <row r="1725" spans="1:10" ht="21" customHeight="1">
      <c r="A1725" s="507" t="s">
        <v>1188</v>
      </c>
      <c r="B1725" s="508" t="s">
        <v>1009</v>
      </c>
      <c r="C1725" s="508" t="s">
        <v>397</v>
      </c>
      <c r="D1725" s="509"/>
      <c r="E1725" s="509"/>
      <c r="F1725" s="509"/>
      <c r="G1725" s="509"/>
      <c r="H1725" s="509">
        <v>5328</v>
      </c>
      <c r="I1725" s="509"/>
      <c r="J1725" s="508"/>
    </row>
    <row r="1726" spans="1:10" ht="21" customHeight="1">
      <c r="A1726" s="507" t="s">
        <v>1188</v>
      </c>
      <c r="B1726" s="508" t="s">
        <v>1193</v>
      </c>
      <c r="C1726" s="508" t="s">
        <v>411</v>
      </c>
      <c r="D1726" s="509">
        <f>SUM($D$1724,$D$1725)</f>
        <v>0</v>
      </c>
      <c r="E1726" s="509">
        <f>SUM($E$1724,$E$1725)</f>
        <v>0</v>
      </c>
      <c r="F1726" s="509">
        <f>SUM($F$1724,$F$1725)</f>
        <v>0</v>
      </c>
      <c r="G1726" s="509">
        <f>SUM($G$1724,$G$1725)</f>
        <v>0</v>
      </c>
      <c r="H1726" s="509">
        <f>SUM($H$1724,$H$1725)</f>
        <v>7348</v>
      </c>
      <c r="I1726" s="509">
        <f>SUM($I$1724,$I$1725)</f>
        <v>0</v>
      </c>
      <c r="J1726" s="508"/>
    </row>
    <row r="1727" spans="1:10" ht="21" customHeight="1">
      <c r="A1727" s="507" t="s">
        <v>1188</v>
      </c>
      <c r="B1727" s="508" t="s">
        <v>461</v>
      </c>
      <c r="C1727" s="508" t="s">
        <v>411</v>
      </c>
      <c r="D1727" s="509">
        <f>$D$1731</f>
        <v>0</v>
      </c>
      <c r="E1727" s="509">
        <f>$E$1731</f>
        <v>0</v>
      </c>
      <c r="F1727" s="509">
        <f>$F$1731</f>
        <v>0</v>
      </c>
      <c r="G1727" s="509">
        <f>$G$1731</f>
        <v>0</v>
      </c>
      <c r="H1727" s="509">
        <f>$H$1731</f>
        <v>0</v>
      </c>
      <c r="I1727" s="509">
        <f>$I$1731</f>
        <v>24850.7</v>
      </c>
      <c r="J1727" s="508"/>
    </row>
    <row r="1728" spans="1:10" ht="21" customHeight="1">
      <c r="A1728" s="507" t="s">
        <v>1188</v>
      </c>
      <c r="B1728" s="508" t="s">
        <v>755</v>
      </c>
      <c r="C1728" s="508" t="s">
        <v>411</v>
      </c>
      <c r="D1728" s="509">
        <f>$D$1734</f>
        <v>0</v>
      </c>
      <c r="E1728" s="509">
        <f>$E$1734</f>
        <v>0</v>
      </c>
      <c r="F1728" s="509">
        <f>$F$1734</f>
        <v>0</v>
      </c>
      <c r="G1728" s="509">
        <f>$G$1734</f>
        <v>0</v>
      </c>
      <c r="H1728" s="509">
        <f>$H$1734</f>
        <v>0</v>
      </c>
      <c r="I1728" s="509">
        <f>$I$1734</f>
        <v>4971</v>
      </c>
      <c r="J1728" s="508"/>
    </row>
    <row r="1729" spans="1:10" ht="21" customHeight="1">
      <c r="A1729" s="507" t="s">
        <v>1188</v>
      </c>
      <c r="B1729" s="508" t="s">
        <v>1024</v>
      </c>
      <c r="C1729" s="508" t="s">
        <v>397</v>
      </c>
      <c r="D1729" s="509"/>
      <c r="E1729" s="509"/>
      <c r="F1729" s="509"/>
      <c r="G1729" s="509"/>
      <c r="H1729" s="509"/>
      <c r="I1729" s="509">
        <f>'CEMS Cambalache'!K11</f>
        <v>5689.8</v>
      </c>
      <c r="J1729" s="508"/>
    </row>
    <row r="1730" spans="1:10" ht="21" customHeight="1">
      <c r="A1730" s="507" t="s">
        <v>1188</v>
      </c>
      <c r="B1730" s="508" t="s">
        <v>1194</v>
      </c>
      <c r="C1730" s="508" t="s">
        <v>397</v>
      </c>
      <c r="D1730" s="509"/>
      <c r="E1730" s="509"/>
      <c r="F1730" s="509"/>
      <c r="G1730" s="509"/>
      <c r="H1730" s="509"/>
      <c r="I1730" s="509">
        <f>'CEMS Cambalache'!L11</f>
        <v>19160.900000000001</v>
      </c>
      <c r="J1730" s="508"/>
    </row>
    <row r="1731" spans="1:10" ht="21" customHeight="1">
      <c r="A1731" s="507" t="s">
        <v>1188</v>
      </c>
      <c r="B1731" s="508" t="s">
        <v>1195</v>
      </c>
      <c r="C1731" s="508" t="s">
        <v>411</v>
      </c>
      <c r="D1731" s="509">
        <f>SUM($D$1729,$D$1730)</f>
        <v>0</v>
      </c>
      <c r="E1731" s="509">
        <f>SUM($E$1729,$E$1730)</f>
        <v>0</v>
      </c>
      <c r="F1731" s="509">
        <f>SUM($F$1729,$F$1730)</f>
        <v>0</v>
      </c>
      <c r="G1731" s="509">
        <f>SUM($G$1729,$G$1730)</f>
        <v>0</v>
      </c>
      <c r="H1731" s="509">
        <f>SUM($H$1729,$H$1730)</f>
        <v>0</v>
      </c>
      <c r="I1731" s="509">
        <f>SUM($I$1729,$I$1730)</f>
        <v>24850.7</v>
      </c>
      <c r="J1731" s="508"/>
    </row>
    <row r="1732" spans="1:10" ht="21" customHeight="1">
      <c r="A1732" s="507" t="s">
        <v>1188</v>
      </c>
      <c r="B1732" s="508" t="s">
        <v>1025</v>
      </c>
      <c r="C1732" s="508" t="s">
        <v>397</v>
      </c>
      <c r="D1732" s="509"/>
      <c r="E1732" s="509"/>
      <c r="F1732" s="509"/>
      <c r="G1732" s="509"/>
      <c r="H1732" s="509"/>
      <c r="I1732" s="509">
        <f>'CEMS Cambalache'!N11</f>
        <v>1092</v>
      </c>
      <c r="J1732" s="508"/>
    </row>
    <row r="1733" spans="1:10" ht="21" customHeight="1">
      <c r="A1733" s="507" t="s">
        <v>1188</v>
      </c>
      <c r="B1733" s="508" t="s">
        <v>1026</v>
      </c>
      <c r="C1733" s="508" t="s">
        <v>397</v>
      </c>
      <c r="D1733" s="509"/>
      <c r="E1733" s="509"/>
      <c r="F1733" s="509"/>
      <c r="G1733" s="509"/>
      <c r="H1733" s="509"/>
      <c r="I1733" s="509">
        <f>'CEMS Cambalache'!O11</f>
        <v>3879</v>
      </c>
      <c r="J1733" s="508"/>
    </row>
    <row r="1734" spans="1:10" ht="21" customHeight="1">
      <c r="A1734" s="507" t="s">
        <v>1188</v>
      </c>
      <c r="B1734" s="508" t="s">
        <v>1196</v>
      </c>
      <c r="C1734" s="508" t="s">
        <v>411</v>
      </c>
      <c r="D1734" s="509">
        <f>SUM($D$1732,$D$1733)</f>
        <v>0</v>
      </c>
      <c r="E1734" s="509">
        <f>SUM($E$1732,$E$1733)</f>
        <v>0</v>
      </c>
      <c r="F1734" s="509">
        <f>SUM($F$1732,$F$1733)</f>
        <v>0</v>
      </c>
      <c r="G1734" s="509">
        <f>SUM($G$1732,$G$1733)</f>
        <v>0</v>
      </c>
      <c r="H1734" s="509">
        <f>SUM($H$1732,$H$1733)</f>
        <v>0</v>
      </c>
      <c r="I1734" s="509">
        <f>SUM($I$1732,$I$1733)</f>
        <v>4971</v>
      </c>
      <c r="J1734" s="508"/>
    </row>
    <row r="1735" spans="1:10" ht="21" customHeight="1">
      <c r="A1735" s="507" t="s">
        <v>1188</v>
      </c>
      <c r="B1735" s="508" t="s">
        <v>466</v>
      </c>
      <c r="C1735" s="508" t="s">
        <v>411</v>
      </c>
      <c r="D1735" s="509">
        <f>$D$1739</f>
        <v>0</v>
      </c>
      <c r="E1735" s="509">
        <f>$E$1739</f>
        <v>0</v>
      </c>
      <c r="F1735" s="509">
        <f>$F$1739</f>
        <v>0</v>
      </c>
      <c r="G1735" s="509">
        <f>$G$1739</f>
        <v>0</v>
      </c>
      <c r="H1735" s="509">
        <f>$H$1739</f>
        <v>0</v>
      </c>
      <c r="I1735" s="509">
        <f>$I$1739</f>
        <v>0</v>
      </c>
      <c r="J1735" s="508"/>
    </row>
    <row r="1736" spans="1:10" ht="21" customHeight="1">
      <c r="A1736" s="507" t="s">
        <v>1188</v>
      </c>
      <c r="B1736" s="508" t="s">
        <v>926</v>
      </c>
      <c r="C1736" s="508" t="s">
        <v>411</v>
      </c>
      <c r="D1736" s="509">
        <f>$D$1742</f>
        <v>0</v>
      </c>
      <c r="E1736" s="509">
        <f>$E$1742</f>
        <v>0</v>
      </c>
      <c r="F1736" s="509">
        <f>$F$1742</f>
        <v>0</v>
      </c>
      <c r="G1736" s="509">
        <f>$G$1742</f>
        <v>0</v>
      </c>
      <c r="H1736" s="509">
        <f>$H$1742</f>
        <v>0</v>
      </c>
      <c r="I1736" s="509">
        <f>$I$1742</f>
        <v>0</v>
      </c>
      <c r="J1736" s="508"/>
    </row>
    <row r="1737" spans="1:10" ht="21" customHeight="1">
      <c r="A1737" s="507" t="s">
        <v>1188</v>
      </c>
      <c r="B1737" s="508" t="s">
        <v>824</v>
      </c>
      <c r="C1737" s="508" t="s">
        <v>674</v>
      </c>
      <c r="D1737" s="509"/>
      <c r="E1737" s="509"/>
      <c r="F1737" s="509"/>
      <c r="G1737" s="509"/>
      <c r="H1737" s="509"/>
      <c r="I1737" s="509"/>
      <c r="J1737" s="508"/>
    </row>
    <row r="1738" spans="1:10" ht="21" customHeight="1">
      <c r="A1738" s="507" t="s">
        <v>1188</v>
      </c>
      <c r="B1738" s="508" t="s">
        <v>1197</v>
      </c>
      <c r="C1738" s="508" t="s">
        <v>674</v>
      </c>
      <c r="D1738" s="509"/>
      <c r="E1738" s="509"/>
      <c r="F1738" s="509"/>
      <c r="G1738" s="509"/>
      <c r="H1738" s="509"/>
      <c r="I1738" s="509"/>
      <c r="J1738" s="508"/>
    </row>
    <row r="1739" spans="1:10" ht="21" customHeight="1">
      <c r="A1739" s="507" t="s">
        <v>1188</v>
      </c>
      <c r="B1739" s="508" t="s">
        <v>1198</v>
      </c>
      <c r="C1739" s="508" t="s">
        <v>411</v>
      </c>
      <c r="D1739" s="509">
        <f>SUM($D$1737,$D$1738)</f>
        <v>0</v>
      </c>
      <c r="E1739" s="509">
        <f>SUM($E$1737,$E$1738)</f>
        <v>0</v>
      </c>
      <c r="F1739" s="509">
        <f>SUM($F$1737,$F$1738)</f>
        <v>0</v>
      </c>
      <c r="G1739" s="509">
        <f>SUM($G$1737,$G$1738)</f>
        <v>0</v>
      </c>
      <c r="H1739" s="509">
        <f>SUM($H$1737,$H$1738)</f>
        <v>0</v>
      </c>
      <c r="I1739" s="509">
        <f>SUM($I$1737,$I$1738)</f>
        <v>0</v>
      </c>
      <c r="J1739" s="508"/>
    </row>
    <row r="1740" spans="1:10" ht="21" customHeight="1">
      <c r="A1740" s="507" t="s">
        <v>1188</v>
      </c>
      <c r="B1740" s="508" t="s">
        <v>1199</v>
      </c>
      <c r="C1740" s="508" t="s">
        <v>674</v>
      </c>
      <c r="D1740" s="509"/>
      <c r="E1740" s="509"/>
      <c r="F1740" s="509"/>
      <c r="G1740" s="509"/>
      <c r="H1740" s="509"/>
      <c r="I1740" s="509"/>
      <c r="J1740" s="508"/>
    </row>
    <row r="1741" spans="1:10" ht="21" customHeight="1">
      <c r="A1741" s="507" t="s">
        <v>1188</v>
      </c>
      <c r="B1741" s="508" t="s">
        <v>1200</v>
      </c>
      <c r="C1741" s="508" t="s">
        <v>674</v>
      </c>
      <c r="D1741" s="509"/>
      <c r="E1741" s="509"/>
      <c r="F1741" s="509"/>
      <c r="G1741" s="509"/>
      <c r="H1741" s="509"/>
      <c r="I1741" s="509"/>
      <c r="J1741" s="508"/>
    </row>
    <row r="1742" spans="1:10" ht="21" customHeight="1">
      <c r="A1742" s="507" t="s">
        <v>1188</v>
      </c>
      <c r="B1742" s="508" t="s">
        <v>1201</v>
      </c>
      <c r="C1742" s="508" t="s">
        <v>411</v>
      </c>
      <c r="D1742" s="509">
        <f>SUM($D$1740,$D$1741)</f>
        <v>0</v>
      </c>
      <c r="E1742" s="509">
        <f>SUM($E$1740,$E$1741)</f>
        <v>0</v>
      </c>
      <c r="F1742" s="509">
        <f>SUM($F$1740,$F$1741)</f>
        <v>0</v>
      </c>
      <c r="G1742" s="509">
        <f>SUM($G$1740,$G$1741)</f>
        <v>0</v>
      </c>
      <c r="H1742" s="509">
        <f>SUM($H$1740,$H$1741)</f>
        <v>0</v>
      </c>
      <c r="I1742" s="509">
        <f>SUM($I$1740,$I$1741)</f>
        <v>0</v>
      </c>
      <c r="J1742" s="508"/>
    </row>
    <row r="1743" spans="1:10" ht="21" customHeight="1">
      <c r="A1743" s="507" t="s">
        <v>1188</v>
      </c>
      <c r="B1743" s="508" t="s">
        <v>471</v>
      </c>
      <c r="C1743" s="508" t="s">
        <v>411</v>
      </c>
      <c r="D1743" s="509">
        <f>$D$1747</f>
        <v>0</v>
      </c>
      <c r="E1743" s="509">
        <f>$E$1747</f>
        <v>0</v>
      </c>
      <c r="F1743" s="509">
        <f>$F$1747</f>
        <v>0</v>
      </c>
      <c r="G1743" s="509">
        <f>$G$1747</f>
        <v>0</v>
      </c>
      <c r="H1743" s="509">
        <f>$H$1747</f>
        <v>0</v>
      </c>
      <c r="I1743" s="509">
        <f>$I$1747</f>
        <v>0</v>
      </c>
      <c r="J1743" s="508"/>
    </row>
    <row r="1744" spans="1:10" ht="21" customHeight="1">
      <c r="A1744" s="507" t="s">
        <v>1188</v>
      </c>
      <c r="B1744" s="508" t="s">
        <v>661</v>
      </c>
      <c r="C1744" s="508" t="s">
        <v>411</v>
      </c>
      <c r="D1744" s="509">
        <f>$D$1750</f>
        <v>0</v>
      </c>
      <c r="E1744" s="509">
        <f>$E$1750</f>
        <v>0</v>
      </c>
      <c r="F1744" s="509">
        <f>$F$1750</f>
        <v>0</v>
      </c>
      <c r="G1744" s="509">
        <f>$G$1750</f>
        <v>0</v>
      </c>
      <c r="H1744" s="509">
        <f>$H$1750</f>
        <v>0</v>
      </c>
      <c r="I1744" s="509">
        <f>$I$1750</f>
        <v>0</v>
      </c>
      <c r="J1744" s="508"/>
    </row>
    <row r="1745" spans="1:10" ht="21" customHeight="1">
      <c r="A1745" s="507" t="s">
        <v>1188</v>
      </c>
      <c r="B1745" s="508" t="s">
        <v>826</v>
      </c>
      <c r="C1745" s="508" t="s">
        <v>674</v>
      </c>
      <c r="D1745" s="509"/>
      <c r="E1745" s="509"/>
      <c r="F1745" s="509"/>
      <c r="G1745" s="509"/>
      <c r="H1745" s="509"/>
      <c r="I1745" s="509"/>
      <c r="J1745" s="508"/>
    </row>
    <row r="1746" spans="1:10" ht="21" customHeight="1">
      <c r="A1746" s="507" t="s">
        <v>1188</v>
      </c>
      <c r="B1746" s="508" t="s">
        <v>1202</v>
      </c>
      <c r="C1746" s="508" t="s">
        <v>674</v>
      </c>
      <c r="D1746" s="509"/>
      <c r="E1746" s="509"/>
      <c r="F1746" s="509"/>
      <c r="G1746" s="509"/>
      <c r="H1746" s="509"/>
      <c r="I1746" s="509"/>
      <c r="J1746" s="508"/>
    </row>
    <row r="1747" spans="1:10" ht="21" customHeight="1">
      <c r="A1747" s="507" t="s">
        <v>1188</v>
      </c>
      <c r="B1747" s="508" t="s">
        <v>1128</v>
      </c>
      <c r="C1747" s="508" t="s">
        <v>411</v>
      </c>
      <c r="D1747" s="509">
        <f>SUM($D$1745+$D$1746)</f>
        <v>0</v>
      </c>
      <c r="E1747" s="509">
        <f>SUM($E$1745+$E$1746)</f>
        <v>0</v>
      </c>
      <c r="F1747" s="509">
        <f>SUM($F$1745+$F$1746)</f>
        <v>0</v>
      </c>
      <c r="G1747" s="509">
        <f>SUM($G$1745+$G$1746)</f>
        <v>0</v>
      </c>
      <c r="H1747" s="509">
        <f>SUM($H$1745+$H$1746)</f>
        <v>0</v>
      </c>
      <c r="I1747" s="509">
        <f>SUM($I$1745+$I$1746)</f>
        <v>0</v>
      </c>
      <c r="J1747" s="508"/>
    </row>
    <row r="1748" spans="1:10" ht="21" customHeight="1">
      <c r="A1748" s="507" t="s">
        <v>1188</v>
      </c>
      <c r="B1748" s="508" t="s">
        <v>1203</v>
      </c>
      <c r="C1748" s="508" t="s">
        <v>674</v>
      </c>
      <c r="D1748" s="509"/>
      <c r="E1748" s="509"/>
      <c r="F1748" s="509"/>
      <c r="G1748" s="509"/>
      <c r="H1748" s="509"/>
      <c r="I1748" s="509"/>
      <c r="J1748" s="508"/>
    </row>
    <row r="1749" spans="1:10" ht="21" customHeight="1">
      <c r="A1749" s="507" t="s">
        <v>1188</v>
      </c>
      <c r="B1749" s="508" t="s">
        <v>1204</v>
      </c>
      <c r="C1749" s="508" t="s">
        <v>674</v>
      </c>
      <c r="D1749" s="509"/>
      <c r="E1749" s="509"/>
      <c r="F1749" s="509"/>
      <c r="G1749" s="509"/>
      <c r="H1749" s="509"/>
      <c r="I1749" s="509"/>
      <c r="J1749" s="508"/>
    </row>
    <row r="1750" spans="1:10" ht="21" customHeight="1">
      <c r="A1750" s="507" t="s">
        <v>1188</v>
      </c>
      <c r="B1750" s="508" t="s">
        <v>1205</v>
      </c>
      <c r="C1750" s="508" t="s">
        <v>411</v>
      </c>
      <c r="D1750" s="509">
        <f>SUM($D$1748,$D$1749)</f>
        <v>0</v>
      </c>
      <c r="E1750" s="509">
        <f>SUM($E$1748,$E$1749)</f>
        <v>0</v>
      </c>
      <c r="F1750" s="509">
        <f>SUM($F$1748,$F$1749)</f>
        <v>0</v>
      </c>
      <c r="G1750" s="509">
        <f>SUM($G$1748,$G$1749)</f>
        <v>0</v>
      </c>
      <c r="H1750" s="509">
        <f>SUM($H$1748,$H$1749)</f>
        <v>0</v>
      </c>
      <c r="I1750" s="509">
        <f>SUM($I$1748,$I$1749)</f>
        <v>0</v>
      </c>
      <c r="J1750" s="508"/>
    </row>
    <row r="1751" spans="1:10" ht="21" customHeight="1">
      <c r="A1751" s="507" t="s">
        <v>1188</v>
      </c>
      <c r="B1751" s="508" t="s">
        <v>476</v>
      </c>
      <c r="C1751" s="508" t="s">
        <v>411</v>
      </c>
      <c r="D1751" s="509">
        <f>$D$1755</f>
        <v>0</v>
      </c>
      <c r="E1751" s="509">
        <f>$E$1755</f>
        <v>0</v>
      </c>
      <c r="F1751" s="509">
        <f>$F$1755</f>
        <v>0</v>
      </c>
      <c r="G1751" s="509">
        <f>$G$1755</f>
        <v>0</v>
      </c>
      <c r="H1751" s="509">
        <f>$H$1755</f>
        <v>0</v>
      </c>
      <c r="I1751" s="509">
        <f>$I$1755</f>
        <v>0</v>
      </c>
      <c r="J1751" s="508"/>
    </row>
    <row r="1752" spans="1:10" ht="21" customHeight="1">
      <c r="A1752" s="507" t="s">
        <v>1188</v>
      </c>
      <c r="B1752" s="508" t="s">
        <v>662</v>
      </c>
      <c r="C1752" s="508" t="s">
        <v>411</v>
      </c>
      <c r="D1752" s="509">
        <f>$D$1758</f>
        <v>0</v>
      </c>
      <c r="E1752" s="509">
        <f>$E$1758</f>
        <v>0</v>
      </c>
      <c r="F1752" s="509">
        <f>$F$1758</f>
        <v>0</v>
      </c>
      <c r="G1752" s="509">
        <f>$G$1758</f>
        <v>0</v>
      </c>
      <c r="H1752" s="509">
        <f>$H$1758</f>
        <v>0</v>
      </c>
      <c r="I1752" s="509">
        <f>$I$1758</f>
        <v>0</v>
      </c>
      <c r="J1752" s="508"/>
    </row>
    <row r="1753" spans="1:10" ht="21" customHeight="1">
      <c r="A1753" s="507" t="s">
        <v>1188</v>
      </c>
      <c r="B1753" s="508" t="s">
        <v>1206</v>
      </c>
      <c r="C1753" s="508" t="s">
        <v>674</v>
      </c>
      <c r="D1753" s="509"/>
      <c r="E1753" s="509"/>
      <c r="F1753" s="509"/>
      <c r="G1753" s="509"/>
      <c r="H1753" s="509"/>
      <c r="I1753" s="509"/>
      <c r="J1753" s="508"/>
    </row>
    <row r="1754" spans="1:10" ht="21" customHeight="1">
      <c r="A1754" s="507" t="s">
        <v>1188</v>
      </c>
      <c r="B1754" s="508" t="s">
        <v>1207</v>
      </c>
      <c r="C1754" s="508" t="s">
        <v>674</v>
      </c>
      <c r="D1754" s="509"/>
      <c r="E1754" s="509"/>
      <c r="F1754" s="509"/>
      <c r="G1754" s="509"/>
      <c r="H1754" s="509"/>
      <c r="I1754" s="509"/>
      <c r="J1754" s="508"/>
    </row>
    <row r="1755" spans="1:10" ht="21" customHeight="1">
      <c r="A1755" s="507" t="s">
        <v>1188</v>
      </c>
      <c r="B1755" s="508" t="s">
        <v>1208</v>
      </c>
      <c r="C1755" s="508" t="s">
        <v>411</v>
      </c>
      <c r="D1755" s="509">
        <f>SUM($D$1753,$D$1754)</f>
        <v>0</v>
      </c>
      <c r="E1755" s="509">
        <f>SUM($E$1753,$E$1754)</f>
        <v>0</v>
      </c>
      <c r="F1755" s="509">
        <f>SUM($F$1753,$F$1754)</f>
        <v>0</v>
      </c>
      <c r="G1755" s="509">
        <f>SUM($G$1753,$G$1754)</f>
        <v>0</v>
      </c>
      <c r="H1755" s="509">
        <f>SUM($H$1753,$H$1754)</f>
        <v>0</v>
      </c>
      <c r="I1755" s="509">
        <f>SUM($I$1753,$I$1754)</f>
        <v>0</v>
      </c>
      <c r="J1755" s="508"/>
    </row>
    <row r="1756" spans="1:10" ht="21" customHeight="1">
      <c r="A1756" s="507" t="s">
        <v>1188</v>
      </c>
      <c r="B1756" s="508" t="s">
        <v>1209</v>
      </c>
      <c r="C1756" s="508" t="s">
        <v>674</v>
      </c>
      <c r="D1756" s="509"/>
      <c r="E1756" s="509"/>
      <c r="F1756" s="509"/>
      <c r="G1756" s="509"/>
      <c r="H1756" s="509"/>
      <c r="I1756" s="509"/>
      <c r="J1756" s="508"/>
    </row>
    <row r="1757" spans="1:10" ht="21" customHeight="1">
      <c r="A1757" s="507" t="s">
        <v>1188</v>
      </c>
      <c r="B1757" s="508" t="s">
        <v>1210</v>
      </c>
      <c r="C1757" s="508" t="s">
        <v>674</v>
      </c>
      <c r="D1757" s="509"/>
      <c r="E1757" s="509"/>
      <c r="F1757" s="509"/>
      <c r="G1757" s="509"/>
      <c r="H1757" s="509"/>
      <c r="I1757" s="509"/>
      <c r="J1757" s="508"/>
    </row>
    <row r="1758" spans="1:10" ht="21" customHeight="1">
      <c r="A1758" s="507" t="s">
        <v>1188</v>
      </c>
      <c r="B1758" s="508" t="s">
        <v>1211</v>
      </c>
      <c r="C1758" s="508" t="s">
        <v>411</v>
      </c>
      <c r="D1758" s="509">
        <f>SUM($D$1756,$D$1757)</f>
        <v>0</v>
      </c>
      <c r="E1758" s="509">
        <f>SUM($E$1756,$E$1757)</f>
        <v>0</v>
      </c>
      <c r="F1758" s="509">
        <f>SUM($F$1756,$F$1757)</f>
        <v>0</v>
      </c>
      <c r="G1758" s="509">
        <f>SUM($G$1756,$G$1757)</f>
        <v>0</v>
      </c>
      <c r="H1758" s="509">
        <f>SUM($H$1756,$H$1757)</f>
        <v>0</v>
      </c>
      <c r="I1758" s="509">
        <f>SUM($I$1756,$I$1757)</f>
        <v>0</v>
      </c>
      <c r="J1758" s="508"/>
    </row>
    <row r="1759" spans="1:10" ht="21" customHeight="1">
      <c r="A1759" s="507" t="s">
        <v>1188</v>
      </c>
      <c r="B1759" s="508" t="s">
        <v>481</v>
      </c>
      <c r="C1759" s="508" t="s">
        <v>411</v>
      </c>
      <c r="D1759" s="509">
        <f>$D$1763</f>
        <v>0</v>
      </c>
      <c r="E1759" s="509">
        <f>$E$1763</f>
        <v>0</v>
      </c>
      <c r="F1759" s="509">
        <f>$F$1763</f>
        <v>0</v>
      </c>
      <c r="G1759" s="509">
        <f>$G$1763</f>
        <v>0</v>
      </c>
      <c r="H1759" s="509">
        <f>$H$1763</f>
        <v>0</v>
      </c>
      <c r="I1759" s="509">
        <f>$I$1763</f>
        <v>0</v>
      </c>
      <c r="J1759" s="508"/>
    </row>
    <row r="1760" spans="1:10" ht="21" customHeight="1">
      <c r="A1760" s="507" t="s">
        <v>1188</v>
      </c>
      <c r="B1760" s="508" t="s">
        <v>663</v>
      </c>
      <c r="C1760" s="508" t="s">
        <v>411</v>
      </c>
      <c r="D1760" s="509">
        <f>$D$1766</f>
        <v>0</v>
      </c>
      <c r="E1760" s="509">
        <f>$E$1766</f>
        <v>0</v>
      </c>
      <c r="F1760" s="509">
        <f>$F$1766</f>
        <v>0</v>
      </c>
      <c r="G1760" s="509">
        <f>$G$1766</f>
        <v>0</v>
      </c>
      <c r="H1760" s="509">
        <f>$H$1766</f>
        <v>0</v>
      </c>
      <c r="I1760" s="509">
        <f>$I$1766</f>
        <v>0</v>
      </c>
      <c r="J1760" s="508"/>
    </row>
    <row r="1761" spans="1:10" ht="21" customHeight="1">
      <c r="A1761" s="507" t="s">
        <v>1188</v>
      </c>
      <c r="B1761" s="508" t="s">
        <v>1212</v>
      </c>
      <c r="C1761" s="508" t="s">
        <v>674</v>
      </c>
      <c r="D1761" s="509"/>
      <c r="E1761" s="509"/>
      <c r="F1761" s="509"/>
      <c r="G1761" s="509"/>
      <c r="H1761" s="509"/>
      <c r="I1761" s="509"/>
      <c r="J1761" s="508"/>
    </row>
    <row r="1762" spans="1:10" ht="21" customHeight="1">
      <c r="A1762" s="507" t="s">
        <v>1188</v>
      </c>
      <c r="B1762" s="508" t="s">
        <v>1213</v>
      </c>
      <c r="C1762" s="508" t="s">
        <v>674</v>
      </c>
      <c r="D1762" s="509"/>
      <c r="E1762" s="509"/>
      <c r="F1762" s="509"/>
      <c r="G1762" s="509"/>
      <c r="H1762" s="509"/>
      <c r="I1762" s="509"/>
      <c r="J1762" s="508"/>
    </row>
    <row r="1763" spans="1:10" ht="21" customHeight="1">
      <c r="A1763" s="507" t="s">
        <v>1188</v>
      </c>
      <c r="B1763" s="508" t="s">
        <v>1129</v>
      </c>
      <c r="C1763" s="508" t="s">
        <v>411</v>
      </c>
      <c r="D1763" s="509">
        <f>SUM($D$1761,$D$1762)</f>
        <v>0</v>
      </c>
      <c r="E1763" s="509">
        <f>SUM($E$1761,$E$1762)</f>
        <v>0</v>
      </c>
      <c r="F1763" s="509">
        <f>SUM($F$1761,$F$1762)</f>
        <v>0</v>
      </c>
      <c r="G1763" s="509">
        <f>SUM($G$1761,$G$1762)</f>
        <v>0</v>
      </c>
      <c r="H1763" s="509">
        <f>SUM($H$1761,$H$1762)</f>
        <v>0</v>
      </c>
      <c r="I1763" s="509">
        <f>SUM($I$1761,$I$1762)</f>
        <v>0</v>
      </c>
      <c r="J1763" s="508"/>
    </row>
    <row r="1764" spans="1:10" ht="21" customHeight="1">
      <c r="A1764" s="507" t="s">
        <v>1188</v>
      </c>
      <c r="B1764" s="508" t="s">
        <v>1214</v>
      </c>
      <c r="C1764" s="508" t="s">
        <v>674</v>
      </c>
      <c r="D1764" s="509"/>
      <c r="E1764" s="509"/>
      <c r="F1764" s="509"/>
      <c r="G1764" s="509"/>
      <c r="H1764" s="509"/>
      <c r="I1764" s="509"/>
      <c r="J1764" s="508"/>
    </row>
    <row r="1765" spans="1:10" ht="21" customHeight="1">
      <c r="A1765" s="507" t="s">
        <v>1188</v>
      </c>
      <c r="B1765" s="508" t="s">
        <v>1215</v>
      </c>
      <c r="C1765" s="508" t="s">
        <v>674</v>
      </c>
      <c r="D1765" s="509"/>
      <c r="E1765" s="509"/>
      <c r="F1765" s="509"/>
      <c r="G1765" s="509"/>
      <c r="H1765" s="509"/>
      <c r="I1765" s="509"/>
      <c r="J1765" s="508"/>
    </row>
    <row r="1766" spans="1:10" ht="21" customHeight="1">
      <c r="A1766" s="507" t="s">
        <v>1188</v>
      </c>
      <c r="B1766" s="508" t="s">
        <v>1216</v>
      </c>
      <c r="C1766" s="508" t="s">
        <v>411</v>
      </c>
      <c r="D1766" s="509">
        <f>SUM($D$1764,$D$1765)</f>
        <v>0</v>
      </c>
      <c r="E1766" s="509">
        <f>SUM($E$1764,$E$1765)</f>
        <v>0</v>
      </c>
      <c r="F1766" s="509">
        <f>SUM($F$1764,$F$1765)</f>
        <v>0</v>
      </c>
      <c r="G1766" s="509">
        <f>SUM($G$1764,$G$1765)</f>
        <v>0</v>
      </c>
      <c r="H1766" s="509">
        <f>SUM($H$1764,$H$1765)</f>
        <v>0</v>
      </c>
      <c r="I1766" s="509">
        <f>SUM($I$1764,$I$1765)</f>
        <v>0</v>
      </c>
      <c r="J1766" s="508"/>
    </row>
    <row r="1767" spans="1:10" ht="21" customHeight="1">
      <c r="A1767" s="507" t="s">
        <v>1188</v>
      </c>
      <c r="B1767" s="508" t="s">
        <v>486</v>
      </c>
      <c r="C1767" s="508" t="s">
        <v>411</v>
      </c>
      <c r="D1767" s="509">
        <f>$D$1771</f>
        <v>0</v>
      </c>
      <c r="E1767" s="509">
        <f>$E$1771</f>
        <v>0</v>
      </c>
      <c r="F1767" s="509">
        <f>$F$1771</f>
        <v>0</v>
      </c>
      <c r="G1767" s="509">
        <f>$G$1771</f>
        <v>0</v>
      </c>
      <c r="H1767" s="509">
        <f>$H$1771</f>
        <v>0</v>
      </c>
      <c r="I1767" s="509">
        <f>$I$1771</f>
        <v>0</v>
      </c>
      <c r="J1767" s="508"/>
    </row>
    <row r="1768" spans="1:10" ht="21" customHeight="1">
      <c r="A1768" s="507" t="s">
        <v>1188</v>
      </c>
      <c r="B1768" s="508" t="s">
        <v>664</v>
      </c>
      <c r="C1768" s="508" t="s">
        <v>411</v>
      </c>
      <c r="D1768" s="509">
        <f>$D$1774</f>
        <v>0</v>
      </c>
      <c r="E1768" s="509">
        <f>$E$1774</f>
        <v>0</v>
      </c>
      <c r="F1768" s="509">
        <f>$F$1774</f>
        <v>0</v>
      </c>
      <c r="G1768" s="509">
        <f>$G$1774</f>
        <v>0</v>
      </c>
      <c r="H1768" s="509">
        <f>$H$1774</f>
        <v>0</v>
      </c>
      <c r="I1768" s="509">
        <f>$I$1774</f>
        <v>0</v>
      </c>
      <c r="J1768" s="508"/>
    </row>
    <row r="1769" spans="1:10" ht="21" customHeight="1">
      <c r="A1769" s="507" t="s">
        <v>1188</v>
      </c>
      <c r="B1769" s="508" t="s">
        <v>1217</v>
      </c>
      <c r="C1769" s="508" t="s">
        <v>674</v>
      </c>
      <c r="D1769" s="509"/>
      <c r="E1769" s="509"/>
      <c r="F1769" s="509"/>
      <c r="G1769" s="509"/>
      <c r="H1769" s="509"/>
      <c r="I1769" s="509"/>
      <c r="J1769" s="508"/>
    </row>
    <row r="1770" spans="1:10" ht="21" customHeight="1">
      <c r="A1770" s="507" t="s">
        <v>1188</v>
      </c>
      <c r="B1770" s="508" t="s">
        <v>1218</v>
      </c>
      <c r="C1770" s="508" t="s">
        <v>674</v>
      </c>
      <c r="D1770" s="509"/>
      <c r="E1770" s="509"/>
      <c r="F1770" s="509"/>
      <c r="G1770" s="509"/>
      <c r="H1770" s="509"/>
      <c r="I1770" s="509"/>
      <c r="J1770" s="508"/>
    </row>
    <row r="1771" spans="1:10" ht="21" customHeight="1">
      <c r="A1771" s="507" t="s">
        <v>1188</v>
      </c>
      <c r="B1771" s="508" t="s">
        <v>1130</v>
      </c>
      <c r="C1771" s="508" t="s">
        <v>411</v>
      </c>
      <c r="D1771" s="509">
        <f>SUM($D$1769,$D$1770)</f>
        <v>0</v>
      </c>
      <c r="E1771" s="509">
        <f>SUM($E$1769,$E$1770)</f>
        <v>0</v>
      </c>
      <c r="F1771" s="509">
        <f>SUM($F$1769,$F$1770)</f>
        <v>0</v>
      </c>
      <c r="G1771" s="509">
        <f>SUM($G$1769,$G$1770)</f>
        <v>0</v>
      </c>
      <c r="H1771" s="509">
        <f>SUM($H$1769,$H$1770)</f>
        <v>0</v>
      </c>
      <c r="I1771" s="509">
        <f>SUM($I$1769,$I$1770)</f>
        <v>0</v>
      </c>
      <c r="J1771" s="508"/>
    </row>
    <row r="1772" spans="1:10" ht="21" customHeight="1">
      <c r="A1772" s="507" t="s">
        <v>1188</v>
      </c>
      <c r="B1772" s="508" t="s">
        <v>1219</v>
      </c>
      <c r="C1772" s="508" t="s">
        <v>674</v>
      </c>
      <c r="D1772" s="509"/>
      <c r="E1772" s="509"/>
      <c r="F1772" s="509"/>
      <c r="G1772" s="509"/>
      <c r="H1772" s="509"/>
      <c r="I1772" s="509"/>
      <c r="J1772" s="508"/>
    </row>
    <row r="1773" spans="1:10" ht="21" customHeight="1">
      <c r="A1773" s="507" t="s">
        <v>1188</v>
      </c>
      <c r="B1773" s="508" t="s">
        <v>1220</v>
      </c>
      <c r="C1773" s="508" t="s">
        <v>674</v>
      </c>
      <c r="D1773" s="509"/>
      <c r="E1773" s="509"/>
      <c r="F1773" s="509"/>
      <c r="G1773" s="509"/>
      <c r="H1773" s="509"/>
      <c r="I1773" s="509"/>
      <c r="J1773" s="508"/>
    </row>
    <row r="1774" spans="1:10" ht="21" customHeight="1">
      <c r="A1774" s="507" t="s">
        <v>1188</v>
      </c>
      <c r="B1774" s="508" t="s">
        <v>1221</v>
      </c>
      <c r="C1774" s="508" t="s">
        <v>411</v>
      </c>
      <c r="D1774" s="509">
        <f>SUM($D$1772,$D$1773)</f>
        <v>0</v>
      </c>
      <c r="E1774" s="509">
        <f>SUM($E$1772,$E$1773)</f>
        <v>0</v>
      </c>
      <c r="F1774" s="509">
        <f>SUM($F$1772,$F$1773)</f>
        <v>0</v>
      </c>
      <c r="G1774" s="509">
        <f>SUM($G$1772,$G$1773)</f>
        <v>0</v>
      </c>
      <c r="H1774" s="509">
        <f>SUM($H$1772,$H$1773)</f>
        <v>0</v>
      </c>
      <c r="I1774" s="509">
        <f>SUM($I$1772,$I$1773)</f>
        <v>0</v>
      </c>
      <c r="J1774" s="508"/>
    </row>
    <row r="1775" spans="1:10" ht="21" customHeight="1">
      <c r="A1775" s="507" t="s">
        <v>1188</v>
      </c>
      <c r="B1775" s="508" t="s">
        <v>490</v>
      </c>
      <c r="C1775" s="508" t="s">
        <v>411</v>
      </c>
      <c r="D1775" s="509">
        <f>$D$1779</f>
        <v>0</v>
      </c>
      <c r="E1775" s="509">
        <f>$E$1779</f>
        <v>0</v>
      </c>
      <c r="F1775" s="509">
        <f>$F$1779</f>
        <v>0</v>
      </c>
      <c r="G1775" s="509">
        <f>$G$1779</f>
        <v>0</v>
      </c>
      <c r="H1775" s="509">
        <f>$H$1779</f>
        <v>0</v>
      </c>
      <c r="I1775" s="509">
        <f>$I$1779</f>
        <v>0</v>
      </c>
      <c r="J1775" s="508"/>
    </row>
    <row r="1776" spans="1:10" ht="21" customHeight="1">
      <c r="A1776" s="507" t="s">
        <v>1188</v>
      </c>
      <c r="B1776" s="508" t="s">
        <v>665</v>
      </c>
      <c r="C1776" s="508" t="s">
        <v>411</v>
      </c>
      <c r="D1776" s="509">
        <f>$D$1782</f>
        <v>0</v>
      </c>
      <c r="E1776" s="509">
        <f>$E$1782</f>
        <v>0</v>
      </c>
      <c r="F1776" s="509">
        <f>$F$1782</f>
        <v>0</v>
      </c>
      <c r="G1776" s="509">
        <f>$G$1782</f>
        <v>0</v>
      </c>
      <c r="H1776" s="509">
        <f>$H$1782</f>
        <v>0</v>
      </c>
      <c r="I1776" s="509">
        <f>$I$1782</f>
        <v>0</v>
      </c>
      <c r="J1776" s="508"/>
    </row>
    <row r="1777" spans="1:10" ht="21" customHeight="1">
      <c r="A1777" s="507" t="s">
        <v>1188</v>
      </c>
      <c r="B1777" s="508" t="s">
        <v>1222</v>
      </c>
      <c r="C1777" s="508" t="s">
        <v>674</v>
      </c>
      <c r="D1777" s="509"/>
      <c r="E1777" s="509"/>
      <c r="F1777" s="509"/>
      <c r="G1777" s="509"/>
      <c r="H1777" s="509"/>
      <c r="I1777" s="509"/>
      <c r="J1777" s="508"/>
    </row>
    <row r="1778" spans="1:10" ht="21" customHeight="1">
      <c r="A1778" s="507" t="s">
        <v>1188</v>
      </c>
      <c r="B1778" s="508" t="s">
        <v>1223</v>
      </c>
      <c r="C1778" s="508" t="s">
        <v>674</v>
      </c>
      <c r="D1778" s="509"/>
      <c r="E1778" s="509"/>
      <c r="F1778" s="509"/>
      <c r="G1778" s="509"/>
      <c r="H1778" s="509"/>
      <c r="I1778" s="509"/>
      <c r="J1778" s="508"/>
    </row>
    <row r="1779" spans="1:10" ht="21" customHeight="1">
      <c r="A1779" s="507" t="s">
        <v>1188</v>
      </c>
      <c r="B1779" s="508" t="s">
        <v>1224</v>
      </c>
      <c r="C1779" s="508" t="s">
        <v>411</v>
      </c>
      <c r="D1779" s="509">
        <f>SUM($D$1777,$D$1778)</f>
        <v>0</v>
      </c>
      <c r="E1779" s="509">
        <f>SUM($E$1777,$E$1778)</f>
        <v>0</v>
      </c>
      <c r="F1779" s="509">
        <f>SUM($F$1777,$F$1778)</f>
        <v>0</v>
      </c>
      <c r="G1779" s="509">
        <f>SUM($G$1777,$G$1778)</f>
        <v>0</v>
      </c>
      <c r="H1779" s="509">
        <f>SUM($H$1777,$H$1778)</f>
        <v>0</v>
      </c>
      <c r="I1779" s="509">
        <f>SUM($I$1777,$I$1778)</f>
        <v>0</v>
      </c>
      <c r="J1779" s="508"/>
    </row>
    <row r="1780" spans="1:10" ht="21" customHeight="1">
      <c r="A1780" s="507" t="s">
        <v>1188</v>
      </c>
      <c r="B1780" s="508" t="s">
        <v>1225</v>
      </c>
      <c r="C1780" s="508" t="s">
        <v>674</v>
      </c>
      <c r="D1780" s="509"/>
      <c r="E1780" s="509"/>
      <c r="F1780" s="509"/>
      <c r="G1780" s="509"/>
      <c r="H1780" s="509"/>
      <c r="I1780" s="509"/>
      <c r="J1780" s="508"/>
    </row>
    <row r="1781" spans="1:10" ht="21" customHeight="1">
      <c r="A1781" s="507" t="s">
        <v>1188</v>
      </c>
      <c r="B1781" s="508" t="s">
        <v>1226</v>
      </c>
      <c r="C1781" s="508" t="s">
        <v>674</v>
      </c>
      <c r="D1781" s="509"/>
      <c r="E1781" s="509"/>
      <c r="F1781" s="509"/>
      <c r="G1781" s="509"/>
      <c r="H1781" s="509"/>
      <c r="I1781" s="509"/>
      <c r="J1781" s="508"/>
    </row>
    <row r="1782" spans="1:10" ht="21" customHeight="1">
      <c r="A1782" s="507" t="s">
        <v>1188</v>
      </c>
      <c r="B1782" s="508" t="s">
        <v>1227</v>
      </c>
      <c r="C1782" s="508" t="s">
        <v>411</v>
      </c>
      <c r="D1782" s="509">
        <f>SUM($D$1780,$D$1781)</f>
        <v>0</v>
      </c>
      <c r="E1782" s="509">
        <f>SUM($E$1780,$E$1781)</f>
        <v>0</v>
      </c>
      <c r="F1782" s="509">
        <f>SUM($F$1780,$F$1781)</f>
        <v>0</v>
      </c>
      <c r="G1782" s="509">
        <f>SUM($G$1780,$G$1781)</f>
        <v>0</v>
      </c>
      <c r="H1782" s="509">
        <f>SUM($H$1780,$H$1781)</f>
        <v>0</v>
      </c>
      <c r="I1782" s="509">
        <f>SUM($I$1780,$I$1781)</f>
        <v>0</v>
      </c>
      <c r="J1782" s="508"/>
    </row>
    <row r="1783" spans="1:10" ht="21" customHeight="1">
      <c r="A1783" s="507" t="s">
        <v>1188</v>
      </c>
      <c r="B1783" s="508" t="s">
        <v>1228</v>
      </c>
      <c r="C1783" s="508" t="s">
        <v>411</v>
      </c>
      <c r="D1783" s="509">
        <f>SUM($D$1687,$D$1695,$D$1703,$D$1711,$D$1719,$D$1727,$D$1735,$D$1743,$D$1751,$D$1759,$D$1767,$D$1775)</f>
        <v>4868.1000000000004</v>
      </c>
      <c r="E1783" s="509">
        <f>SUM($E$1687,$E$1695,$E$1703,$E$1711,$E$1719,$E$1727,$E$1735,$E$1743,$E$1751,$E$1759,$E$1767,$E$1775)</f>
        <v>6794.9</v>
      </c>
      <c r="F1783" s="509">
        <f>SUM($F$1687,$F$1695,$F$1703,$F$1711,$F$1719,$F$1727,$F$1735,$F$1743,$F$1751,$F$1759,$F$1767,$F$1775)</f>
        <v>19011.599999999999</v>
      </c>
      <c r="G1783" s="509">
        <f>SUM($G$1687,$G$1695,$G$1703,$G$1711,$G$1719,$G$1727,$G$1735,$G$1743,$G$1751,$G$1759,$G$1767,$G$1775)</f>
        <v>29495.200000000001</v>
      </c>
      <c r="H1783" s="509">
        <f>SUM($H$1687,$H$1695,$H$1703,$H$1711,$H$1719,$H$1727,$H$1735,$H$1743,$H$1751,$H$1759,$H$1767,$H$1775)</f>
        <v>28263.100000000002</v>
      </c>
      <c r="I1783" s="509">
        <f>SUM($I$1687,$I$1695,$I$1703,$I$1711,$I$1719,$I$1727,$I$1735,$I$1743,$I$1751,$I$1759,$I$1767,$I$1775)</f>
        <v>24850.7</v>
      </c>
      <c r="J1783" s="508"/>
    </row>
    <row r="1784" spans="1:10" ht="21" customHeight="1">
      <c r="A1784" s="507" t="s">
        <v>1188</v>
      </c>
      <c r="B1784" s="508" t="s">
        <v>565</v>
      </c>
      <c r="C1784" s="508" t="s">
        <v>411</v>
      </c>
      <c r="D1784" s="509">
        <f>SUM($D$1688,$D$1696,$D$1704,$D$1712,$D$1720,$D$1728,$D$1736,$D$1744,$D$1752,$D$1760,$D$1768,$D$1776)</f>
        <v>1298</v>
      </c>
      <c r="E1784" s="509">
        <f>SUM($E$1688,$E$1696,$E$1704,$E$1712,$E$1720,$E$1728,$E$1736,$E$1744,$E$1752,$E$1760,$E$1768,$E$1776)</f>
        <v>1436</v>
      </c>
      <c r="F1784" s="509">
        <f>SUM($F$1688,$F$1696,$F$1704,$F$1712,$F$1720,$F$1728,$F$1736,$F$1744,$F$1752,$F$1760,$F$1768,$F$1776)</f>
        <v>4405</v>
      </c>
      <c r="G1784" s="509">
        <f>SUM($G$1688,$G$1696,$G$1704,$G$1712,$G$1720,$G$1728,$G$1736,$G$1744,$G$1752,$G$1760,$G$1768,$G$1776)</f>
        <v>6740</v>
      </c>
      <c r="H1784" s="509">
        <f>SUM($H$1688,$H$1696,$H$1704,$H$1712,$H$1720,$H$1728,$H$1736,$H$1744,$H$1752,$H$1760,$H$1768,$H$1776)</f>
        <v>7348</v>
      </c>
      <c r="I1784" s="509">
        <f>SUM($I$1688,$I$1696,$I$1704,$I$1712,$I$1720,$I$1728,$I$1736,$I$1744,$I$1752,$I$1760,$I$1768,$I$1776)</f>
        <v>4971</v>
      </c>
      <c r="J1784" s="508"/>
    </row>
    <row r="1785" spans="1:10" ht="21" customHeight="1">
      <c r="A1785" s="507" t="s">
        <v>1188</v>
      </c>
      <c r="B1785" s="508" t="s">
        <v>531</v>
      </c>
      <c r="C1785" s="508" t="s">
        <v>411</v>
      </c>
      <c r="D1785" s="509">
        <f>$D$1783/2000</f>
        <v>2.43405</v>
      </c>
      <c r="E1785" s="509">
        <f>$E$1783/2000</f>
        <v>3.3974499999999996</v>
      </c>
      <c r="F1785" s="509">
        <f>$F$1783/2000</f>
        <v>9.5057999999999989</v>
      </c>
      <c r="G1785" s="509">
        <f>$G$1783/2000</f>
        <v>14.7476</v>
      </c>
      <c r="H1785" s="509">
        <f>$H$1783/2000</f>
        <v>14.131550000000001</v>
      </c>
      <c r="I1785" s="509">
        <f>$I$1783/2000</f>
        <v>12.42535</v>
      </c>
      <c r="J1785" s="508"/>
    </row>
    <row r="1786" spans="1:10" ht="21" customHeight="1">
      <c r="A1786" s="507" t="s">
        <v>1188</v>
      </c>
      <c r="B1786" s="508" t="s">
        <v>666</v>
      </c>
      <c r="C1786" s="508" t="s">
        <v>411</v>
      </c>
      <c r="D1786" s="509">
        <f>$D$1784/2000</f>
        <v>0.64900000000000002</v>
      </c>
      <c r="E1786" s="509">
        <f>$E$1784/2000</f>
        <v>0.71799999999999997</v>
      </c>
      <c r="F1786" s="509">
        <f>$F$1784/2000</f>
        <v>2.2025000000000001</v>
      </c>
      <c r="G1786" s="509">
        <f>$G$1784/2000</f>
        <v>3.37</v>
      </c>
      <c r="H1786" s="509">
        <f>$H$1784/2000</f>
        <v>3.6739999999999999</v>
      </c>
      <c r="I1786" s="509">
        <f>$I$1784/2000</f>
        <v>2.4855</v>
      </c>
      <c r="J1786" s="508"/>
    </row>
    <row r="1787" spans="1:10" ht="21" customHeight="1">
      <c r="A1787" s="510" t="s">
        <v>1229</v>
      </c>
      <c r="B1787" s="506"/>
      <c r="C1787" s="506"/>
      <c r="D1787" s="511"/>
      <c r="E1787" s="511"/>
      <c r="F1787" s="511"/>
      <c r="G1787" s="511"/>
      <c r="H1787" s="511"/>
      <c r="I1787" s="512"/>
      <c r="J1787" s="506"/>
    </row>
    <row r="1788" spans="1:10" ht="21" customHeight="1">
      <c r="A1788" s="507" t="s">
        <v>1229</v>
      </c>
      <c r="B1788" s="508" t="s">
        <v>926</v>
      </c>
      <c r="C1788" s="508" t="s">
        <v>411</v>
      </c>
      <c r="D1788" s="509">
        <f>SUM($D$1620+$D$1621)</f>
        <v>0.45900000000000002</v>
      </c>
      <c r="E1788" s="509">
        <f>SUM($E$1620+$E$1621)</f>
        <v>0.86699999999999999</v>
      </c>
      <c r="F1788" s="509">
        <f>SUM($F$1620+$F$1621)</f>
        <v>2.4224999999999999</v>
      </c>
      <c r="G1788" s="509"/>
      <c r="H1788" s="509"/>
      <c r="I1788" s="509">
        <f>SUM($I$1620+$I$1621)</f>
        <v>5.1255000000000006</v>
      </c>
      <c r="J1788" s="508" t="s">
        <v>1230</v>
      </c>
    </row>
    <row r="1789" spans="1:10" ht="21" customHeight="1">
      <c r="A1789" s="507" t="s">
        <v>1229</v>
      </c>
      <c r="B1789" s="508" t="s">
        <v>661</v>
      </c>
      <c r="C1789" s="508" t="s">
        <v>411</v>
      </c>
      <c r="D1789" s="509">
        <f>SUM($D$1648+$D$1649)</f>
        <v>1.2330000000000001</v>
      </c>
      <c r="E1789" s="509">
        <f>SUM($E$1648+$E$1649)</f>
        <v>2.3290000000000002</v>
      </c>
      <c r="F1789" s="509">
        <f>SUM($F$1648+$F$1649)</f>
        <v>6.5075000000000003</v>
      </c>
      <c r="G1789" s="509"/>
      <c r="H1789" s="509"/>
      <c r="I1789" s="509">
        <f>SUM($I$1648+$I$1649)</f>
        <v>13.7685</v>
      </c>
      <c r="J1789" s="508" t="s">
        <v>35</v>
      </c>
    </row>
    <row r="1790" spans="1:10" ht="21" customHeight="1">
      <c r="A1790" s="507" t="s">
        <v>1229</v>
      </c>
      <c r="B1790" s="508" t="s">
        <v>662</v>
      </c>
      <c r="C1790" s="508" t="s">
        <v>411</v>
      </c>
      <c r="D1790" s="509">
        <f>SUM($D$1785)</f>
        <v>2.43405</v>
      </c>
      <c r="E1790" s="509">
        <f>SUM($E$1785)</f>
        <v>3.3974499999999996</v>
      </c>
      <c r="F1790" s="509">
        <f>SUM($F$1785)</f>
        <v>9.5057999999999989</v>
      </c>
      <c r="G1790" s="509"/>
      <c r="H1790" s="509"/>
      <c r="I1790" s="509">
        <f>SUM($I$1785)</f>
        <v>12.42535</v>
      </c>
      <c r="J1790" s="508" t="s">
        <v>1231</v>
      </c>
    </row>
    <row r="1791" spans="1:10" ht="21" customHeight="1">
      <c r="A1791" s="507" t="s">
        <v>1229</v>
      </c>
      <c r="B1791" s="508" t="s">
        <v>663</v>
      </c>
      <c r="C1791" s="508" t="s">
        <v>411</v>
      </c>
      <c r="D1791" s="509">
        <f>SUM($D$1664+$D$1665)</f>
        <v>0.105</v>
      </c>
      <c r="E1791" s="509">
        <f>SUM($E$1664+$E$1665)</f>
        <v>0.20699999999999999</v>
      </c>
      <c r="F1791" s="509">
        <f>SUM($F$1664+$F$1665)</f>
        <v>0.58850000000000002</v>
      </c>
      <c r="G1791" s="509"/>
      <c r="H1791" s="509"/>
      <c r="I1791" s="509">
        <f>SUM($I$1664+$I$1665)</f>
        <v>1.2484999999999999</v>
      </c>
      <c r="J1791" s="508" t="s">
        <v>16</v>
      </c>
    </row>
    <row r="1792" spans="1:10" ht="21" customHeight="1">
      <c r="A1792" s="507" t="s">
        <v>1229</v>
      </c>
      <c r="B1792" s="508" t="s">
        <v>664</v>
      </c>
      <c r="C1792" s="508" t="s">
        <v>411</v>
      </c>
      <c r="D1792" s="509">
        <f>SUM($D$1786)</f>
        <v>0.64900000000000002</v>
      </c>
      <c r="E1792" s="509">
        <f>SUM($E$1786)</f>
        <v>0.71799999999999997</v>
      </c>
      <c r="F1792" s="509">
        <f>SUM($F$1786)</f>
        <v>2.2025000000000001</v>
      </c>
      <c r="G1792" s="509"/>
      <c r="H1792" s="509"/>
      <c r="I1792" s="509">
        <f>SUM($I$1786)</f>
        <v>2.4855</v>
      </c>
      <c r="J1792" s="508" t="s">
        <v>1232</v>
      </c>
    </row>
    <row r="1793" spans="1:10" ht="21" customHeight="1">
      <c r="A1793" s="507" t="s">
        <v>1229</v>
      </c>
      <c r="B1793" s="508" t="s">
        <v>665</v>
      </c>
      <c r="C1793" s="508" t="s">
        <v>411</v>
      </c>
      <c r="D1793" s="509">
        <f>SUM($D$1676+$D$1677)</f>
        <v>1.65E-4</v>
      </c>
      <c r="E1793" s="509">
        <f>SUM($E$1676+$E$1677)</f>
        <v>3.4199999999999996E-4</v>
      </c>
      <c r="F1793" s="509">
        <f>SUM($F$1676+$F$1677)</f>
        <v>9.9099999999999991E-4</v>
      </c>
      <c r="G1793" s="509"/>
      <c r="H1793" s="509"/>
      <c r="I1793" s="509">
        <f>SUM($I$1676+$I$1677)</f>
        <v>2.1085000000000001E-3</v>
      </c>
      <c r="J1793" s="508" t="s">
        <v>17</v>
      </c>
    </row>
    <row r="1794" spans="1:10" ht="21" customHeight="1">
      <c r="A1794" s="507" t="s">
        <v>1229</v>
      </c>
      <c r="B1794" s="508" t="s">
        <v>565</v>
      </c>
      <c r="C1794" s="508" t="s">
        <v>411</v>
      </c>
      <c r="D1794" s="509">
        <f>SUM($D$2409)</f>
        <v>1691.2027274300769</v>
      </c>
      <c r="E1794" s="509">
        <f>SUM($E$1685)</f>
        <v>2764.8793020000003</v>
      </c>
      <c r="F1794" s="509">
        <f>SUM($F$1685)</f>
        <v>8825.051571</v>
      </c>
      <c r="G1794" s="509"/>
      <c r="H1794" s="509"/>
      <c r="I1794" s="509">
        <f>SUM($I$1681)</f>
        <v>14396.500452</v>
      </c>
      <c r="J1794" s="508" t="s">
        <v>1233</v>
      </c>
    </row>
    <row r="1795" spans="1:10" ht="21" customHeight="1">
      <c r="A1795" s="510" t="s">
        <v>1234</v>
      </c>
      <c r="B1795" s="506"/>
      <c r="C1795" s="506"/>
      <c r="D1795" s="511"/>
      <c r="E1795" s="511"/>
      <c r="F1795" s="511"/>
      <c r="G1795" s="511"/>
      <c r="H1795" s="511"/>
      <c r="I1795" s="512"/>
      <c r="J1795" s="506"/>
    </row>
    <row r="1796" spans="1:10" ht="21" customHeight="1">
      <c r="A1796" s="507" t="s">
        <v>1234</v>
      </c>
      <c r="B1796" s="508" t="s">
        <v>469</v>
      </c>
      <c r="C1796" s="508" t="s">
        <v>411</v>
      </c>
      <c r="D1796" s="509">
        <f>$D$1334</f>
        <v>0</v>
      </c>
      <c r="E1796" s="509">
        <f>$E$1354</f>
        <v>0</v>
      </c>
      <c r="F1796" s="509">
        <f>$F$1374</f>
        <v>0</v>
      </c>
      <c r="G1796" s="509">
        <f>$G$1394</f>
        <v>77992</v>
      </c>
      <c r="H1796" s="509">
        <f>$H$1414</f>
        <v>203019</v>
      </c>
      <c r="I1796" s="509">
        <f>$I$1434</f>
        <v>281291</v>
      </c>
      <c r="J1796" s="508" t="s">
        <v>318</v>
      </c>
    </row>
    <row r="1797" spans="1:10" ht="21" customHeight="1">
      <c r="A1797" s="507" t="s">
        <v>1234</v>
      </c>
      <c r="B1797" s="508" t="s">
        <v>1202</v>
      </c>
      <c r="C1797" s="508" t="s">
        <v>411</v>
      </c>
      <c r="D1797" s="509">
        <f>$D$1335</f>
        <v>0</v>
      </c>
      <c r="E1797" s="509">
        <f>$E$1355</f>
        <v>0</v>
      </c>
      <c r="F1797" s="509">
        <f>$F$1375</f>
        <v>32301</v>
      </c>
      <c r="G1797" s="509">
        <f>$G$1395</f>
        <v>82045</v>
      </c>
      <c r="H1797" s="509">
        <f>$H$1415</f>
        <v>182964</v>
      </c>
      <c r="I1797" s="509">
        <f>$I$1435</f>
        <v>210170</v>
      </c>
      <c r="J1797" s="508" t="s">
        <v>318</v>
      </c>
    </row>
    <row r="1798" spans="1:10" ht="21" customHeight="1">
      <c r="A1798" s="507" t="s">
        <v>1234</v>
      </c>
      <c r="B1798" s="508" t="s">
        <v>474</v>
      </c>
      <c r="C1798" s="508" t="s">
        <v>411</v>
      </c>
      <c r="D1798" s="509">
        <f>$D$1512</f>
        <v>9.5000000000000032E-4</v>
      </c>
      <c r="E1798" s="509">
        <f>$E$1360</f>
        <v>0.01</v>
      </c>
      <c r="F1798" s="509">
        <f>$F$1380</f>
        <v>0.01</v>
      </c>
      <c r="G1798" s="509">
        <f>$G$1400</f>
        <v>0.01</v>
      </c>
      <c r="H1798" s="509">
        <f>$H$1420</f>
        <v>0.01</v>
      </c>
      <c r="I1798" s="509">
        <f>$I$1440</f>
        <v>0.01</v>
      </c>
      <c r="J1798" s="508" t="s">
        <v>84</v>
      </c>
    </row>
    <row r="1799" spans="1:10" ht="21" customHeight="1">
      <c r="A1799" s="507" t="s">
        <v>1234</v>
      </c>
      <c r="B1799" s="508" t="s">
        <v>1207</v>
      </c>
      <c r="C1799" s="508" t="s">
        <v>411</v>
      </c>
      <c r="D1799" s="509">
        <f>$D$1513</f>
        <v>1.0000000000000002E-3</v>
      </c>
      <c r="E1799" s="509">
        <f>$E$1361</f>
        <v>0.01</v>
      </c>
      <c r="F1799" s="509">
        <f>$F$1381</f>
        <v>0.01</v>
      </c>
      <c r="G1799" s="509">
        <f>$G$1401</f>
        <v>0.01</v>
      </c>
      <c r="H1799" s="509">
        <f>$H$1421</f>
        <v>0.01</v>
      </c>
      <c r="I1799" s="509">
        <f>$I$1441</f>
        <v>0.01</v>
      </c>
      <c r="J1799" s="508" t="s">
        <v>84</v>
      </c>
    </row>
    <row r="1800" spans="1:10" ht="21" customHeight="1">
      <c r="A1800" s="507" t="s">
        <v>1234</v>
      </c>
      <c r="B1800" s="508" t="s">
        <v>896</v>
      </c>
      <c r="C1800" s="508" t="s">
        <v>411</v>
      </c>
      <c r="D1800" s="509">
        <f>(73.96+0.003*25+0.0006*298)*2.2046*0.138</f>
        <v>22.578420600240001</v>
      </c>
      <c r="E1800" s="509">
        <f>(73.96+0.003*25+0.0006*298)*2.2046*0.138</f>
        <v>22.578420600240001</v>
      </c>
      <c r="F1800" s="509">
        <f>(73.96+0.003*25+0.0006*298)*2.2046*0.138</f>
        <v>22.578420600240001</v>
      </c>
      <c r="G1800" s="509">
        <f>(73.96+0.003*25+0.0006*298)*2.2046*0.138</f>
        <v>22.578420600240001</v>
      </c>
      <c r="H1800" s="509">
        <f>(73.96+0.003*25+0.0006*298)*2.2046*0.138</f>
        <v>22.578420600240001</v>
      </c>
      <c r="I1800" s="509">
        <f>(73.96+0.003*25+0.0006*298)*2.2046*0.138</f>
        <v>22.578420600240001</v>
      </c>
      <c r="J1800" s="508" t="s">
        <v>84</v>
      </c>
    </row>
    <row r="1801" spans="1:10" ht="21" customHeight="1">
      <c r="A1801" s="507" t="s">
        <v>1234</v>
      </c>
      <c r="B1801" s="508" t="s">
        <v>566</v>
      </c>
      <c r="C1801" s="508" t="s">
        <v>397</v>
      </c>
      <c r="D1801" s="509">
        <v>1.2E-2</v>
      </c>
      <c r="E1801" s="509">
        <v>1.2E-2</v>
      </c>
      <c r="F1801" s="509">
        <v>1.2E-2</v>
      </c>
      <c r="G1801" s="509">
        <v>1.2E-2</v>
      </c>
      <c r="H1801" s="509">
        <v>1.2E-2</v>
      </c>
      <c r="I1801" s="509">
        <f>'Cálculos Daguao'!B19</f>
        <v>1.2E-2</v>
      </c>
      <c r="J1801" s="508"/>
    </row>
    <row r="1802" spans="1:10" ht="21" customHeight="1">
      <c r="A1802" s="507" t="s">
        <v>1234</v>
      </c>
      <c r="B1802" s="508" t="s">
        <v>666</v>
      </c>
      <c r="C1802" s="508" t="s">
        <v>411</v>
      </c>
      <c r="D1802" s="509">
        <f>$D$1796</f>
        <v>0</v>
      </c>
      <c r="E1802" s="509">
        <f>$E$1796</f>
        <v>0</v>
      </c>
      <c r="F1802" s="509">
        <f>$F$1796</f>
        <v>0</v>
      </c>
      <c r="G1802" s="509">
        <f>$G$1796</f>
        <v>77992</v>
      </c>
      <c r="H1802" s="509">
        <f>$H$1796</f>
        <v>203019</v>
      </c>
      <c r="I1802" s="509">
        <f>$I$1796</f>
        <v>281291</v>
      </c>
      <c r="J1802" s="508"/>
    </row>
    <row r="1803" spans="1:10" ht="21" customHeight="1">
      <c r="A1803" s="507" t="s">
        <v>1234</v>
      </c>
      <c r="B1803" s="508" t="s">
        <v>567</v>
      </c>
      <c r="C1803" s="508" t="s">
        <v>397</v>
      </c>
      <c r="D1803" s="509">
        <v>0.13800000000000001</v>
      </c>
      <c r="E1803" s="509">
        <v>0.13800000000000001</v>
      </c>
      <c r="F1803" s="509">
        <v>0.13800000000000001</v>
      </c>
      <c r="G1803" s="509">
        <v>0.13800000000000001</v>
      </c>
      <c r="H1803" s="509">
        <v>0.13800000000000001</v>
      </c>
      <c r="I1803" s="509">
        <f>'Cálculos Daguao'!F19</f>
        <v>0.13800000000000001</v>
      </c>
      <c r="J1803" s="508"/>
    </row>
    <row r="1804" spans="1:10" ht="21" customHeight="1">
      <c r="A1804" s="507" t="s">
        <v>1234</v>
      </c>
      <c r="B1804" s="508" t="s">
        <v>1235</v>
      </c>
      <c r="C1804" s="508" t="s">
        <v>397</v>
      </c>
      <c r="D1804" s="509">
        <v>1.2E-2</v>
      </c>
      <c r="E1804" s="509">
        <v>1.2E-2</v>
      </c>
      <c r="F1804" s="509">
        <v>1.2E-2</v>
      </c>
      <c r="G1804" s="509">
        <v>1.2E-2</v>
      </c>
      <c r="H1804" s="509">
        <v>1.2E-2</v>
      </c>
      <c r="I1804" s="509">
        <f>'Cálculos Daguao'!L19</f>
        <v>1.2E-2</v>
      </c>
      <c r="J1804" s="508"/>
    </row>
    <row r="1805" spans="1:10" ht="21" customHeight="1">
      <c r="A1805" s="507" t="s">
        <v>1234</v>
      </c>
      <c r="B1805" s="508" t="s">
        <v>1236</v>
      </c>
      <c r="C1805" s="508" t="s">
        <v>411</v>
      </c>
      <c r="D1805" s="509">
        <f>$D$1797</f>
        <v>0</v>
      </c>
      <c r="E1805" s="509">
        <f>$E$1797</f>
        <v>0</v>
      </c>
      <c r="F1805" s="509">
        <f>$F$1797</f>
        <v>32301</v>
      </c>
      <c r="G1805" s="509">
        <f>$G$1797</f>
        <v>82045</v>
      </c>
      <c r="H1805" s="509">
        <f>$H$1797</f>
        <v>182964</v>
      </c>
      <c r="I1805" s="509">
        <f>$I$1797</f>
        <v>210170</v>
      </c>
      <c r="J1805" s="508"/>
    </row>
    <row r="1806" spans="1:10" ht="21" customHeight="1">
      <c r="A1806" s="507" t="s">
        <v>1234</v>
      </c>
      <c r="B1806" s="508" t="s">
        <v>900</v>
      </c>
      <c r="C1806" s="508" t="s">
        <v>397</v>
      </c>
      <c r="D1806" s="509">
        <v>0.13800000000000001</v>
      </c>
      <c r="E1806" s="509">
        <v>0.13800000000000001</v>
      </c>
      <c r="F1806" s="509">
        <v>0.13800000000000001</v>
      </c>
      <c r="G1806" s="509">
        <v>0.13800000000000001</v>
      </c>
      <c r="H1806" s="509">
        <v>0.13800000000000001</v>
      </c>
      <c r="I1806" s="509">
        <f>'Cálculos Daguao'!P19</f>
        <v>0.13800000000000001</v>
      </c>
      <c r="J1806" s="508"/>
    </row>
    <row r="1807" spans="1:10" ht="21" customHeight="1">
      <c r="A1807" s="507" t="s">
        <v>1234</v>
      </c>
      <c r="B1807" s="508" t="s">
        <v>600</v>
      </c>
      <c r="C1807" s="508" t="s">
        <v>397</v>
      </c>
      <c r="D1807" s="509">
        <v>2000</v>
      </c>
      <c r="E1807" s="509">
        <v>2000</v>
      </c>
      <c r="F1807" s="509">
        <v>2000</v>
      </c>
      <c r="G1807" s="509">
        <v>2000</v>
      </c>
      <c r="H1807" s="509">
        <v>2000</v>
      </c>
      <c r="I1807" s="509">
        <f>'Cálculos Daguao'!H20</f>
        <v>2000</v>
      </c>
      <c r="J1807" s="508"/>
    </row>
    <row r="1808" spans="1:10" ht="21" customHeight="1">
      <c r="A1808" s="507" t="s">
        <v>1234</v>
      </c>
      <c r="B1808" s="508" t="s">
        <v>603</v>
      </c>
      <c r="C1808" s="508" t="s">
        <v>397</v>
      </c>
      <c r="D1808" s="509">
        <v>2000</v>
      </c>
      <c r="E1808" s="509">
        <v>2000</v>
      </c>
      <c r="F1808" s="509">
        <v>2000</v>
      </c>
      <c r="G1808" s="509">
        <v>2000</v>
      </c>
      <c r="H1808" s="509">
        <v>2000</v>
      </c>
      <c r="I1808" s="509">
        <f>'Cálculos Daguao'!R20</f>
        <v>2000</v>
      </c>
      <c r="J1808" s="508"/>
    </row>
    <row r="1809" spans="1:10" ht="21" customHeight="1">
      <c r="A1809" s="507" t="s">
        <v>1234</v>
      </c>
      <c r="B1809" s="508" t="s">
        <v>568</v>
      </c>
      <c r="C1809" s="508" t="s">
        <v>411</v>
      </c>
      <c r="D1809" s="509">
        <f>($D$1801*$D$1802*$D$1803)/$D$1807</f>
        <v>0</v>
      </c>
      <c r="E1809" s="509">
        <f>($E$1801*$E$1802*$E$1803)/$E$1807</f>
        <v>0</v>
      </c>
      <c r="F1809" s="509">
        <f>($F$1801*$F$1802*$F$1803)/$F$1807</f>
        <v>0</v>
      </c>
      <c r="G1809" s="509">
        <f>($G$1801*$G$1802*$G$1803)/$G$1807</f>
        <v>6.4577376000000006E-2</v>
      </c>
      <c r="H1809" s="509">
        <f>($H$1801*$H$1802*$H$1803)/$H$1807</f>
        <v>0.16809973200000003</v>
      </c>
      <c r="I1809" s="509">
        <f>($I$1801*$I$1802*$I$1803)/$I$1807</f>
        <v>0.23290894800000003</v>
      </c>
      <c r="J1809" s="508"/>
    </row>
    <row r="1810" spans="1:10" ht="21" customHeight="1">
      <c r="A1810" s="507" t="s">
        <v>1234</v>
      </c>
      <c r="B1810" s="508" t="s">
        <v>1237</v>
      </c>
      <c r="C1810" s="508" t="s">
        <v>411</v>
      </c>
      <c r="D1810" s="509">
        <f>($D$1804*$D$1805*$D$1806)/$D$1808</f>
        <v>0</v>
      </c>
      <c r="E1810" s="509">
        <f>($E$1804*$E$1805*$E$1806)/$E$1808</f>
        <v>0</v>
      </c>
      <c r="F1810" s="509">
        <f>($F$1804*$F$1805*$F$1806)/$F$1808</f>
        <v>2.6745228000000003E-2</v>
      </c>
      <c r="G1810" s="509">
        <f>($G$1804*$G$1805*$G$1806)/$G$1808</f>
        <v>6.7933260000000009E-2</v>
      </c>
      <c r="H1810" s="509">
        <f>($H$1804*$H$1805*$H$1806)/$H$1808</f>
        <v>0.15149419200000003</v>
      </c>
      <c r="I1810" s="509">
        <f>($I$1804*$I$1805*$I$1806)/$I$1808</f>
        <v>0.17402076000000002</v>
      </c>
      <c r="J1810" s="508"/>
    </row>
    <row r="1811" spans="1:10" ht="21" customHeight="1">
      <c r="A1811" s="507" t="s">
        <v>1234</v>
      </c>
      <c r="B1811" s="508" t="s">
        <v>509</v>
      </c>
      <c r="C1811" s="508" t="s">
        <v>411</v>
      </c>
      <c r="D1811" s="509">
        <f>1.01*$D$1798</f>
        <v>9.5950000000000028E-4</v>
      </c>
      <c r="E1811" s="509">
        <f>1.01*$E$1798</f>
        <v>1.01E-2</v>
      </c>
      <c r="F1811" s="509">
        <f>1.01*$F$1798</f>
        <v>1.01E-2</v>
      </c>
      <c r="G1811" s="509">
        <f>1.01*$G$1798</f>
        <v>1.01E-2</v>
      </c>
      <c r="H1811" s="509">
        <f>1.01*$H$1798</f>
        <v>1.01E-2</v>
      </c>
      <c r="I1811" s="509">
        <f>1.01*$I$1798</f>
        <v>1.01E-2</v>
      </c>
      <c r="J1811" s="508"/>
    </row>
    <row r="1812" spans="1:10" ht="21" customHeight="1">
      <c r="A1812" s="507" t="s">
        <v>1234</v>
      </c>
      <c r="B1812" s="508" t="s">
        <v>511</v>
      </c>
      <c r="C1812" s="508" t="s">
        <v>411</v>
      </c>
      <c r="D1812" s="509">
        <f>$D$1796</f>
        <v>0</v>
      </c>
      <c r="E1812" s="509">
        <f>$E$1796</f>
        <v>0</v>
      </c>
      <c r="F1812" s="509">
        <f>$F$1796</f>
        <v>0</v>
      </c>
      <c r="G1812" s="509">
        <f>$G$1796</f>
        <v>77992</v>
      </c>
      <c r="H1812" s="509">
        <f>$H$1796</f>
        <v>203019</v>
      </c>
      <c r="I1812" s="509">
        <f>$I$1796</f>
        <v>281291</v>
      </c>
      <c r="J1812" s="508"/>
    </row>
    <row r="1813" spans="1:10" ht="21" customHeight="1">
      <c r="A1813" s="507" t="s">
        <v>1234</v>
      </c>
      <c r="B1813" s="508" t="s">
        <v>569</v>
      </c>
      <c r="C1813" s="508" t="s">
        <v>397</v>
      </c>
      <c r="D1813" s="509">
        <v>0.13800000000000001</v>
      </c>
      <c r="E1813" s="509">
        <v>0.13800000000000001</v>
      </c>
      <c r="F1813" s="509">
        <v>0.13800000000000001</v>
      </c>
      <c r="G1813" s="509">
        <v>0.13800000000000001</v>
      </c>
      <c r="H1813" s="509">
        <v>0.13800000000000001</v>
      </c>
      <c r="I1813" s="509">
        <f>'Cálculos Daguao'!F28</f>
        <v>0.13800000000000001</v>
      </c>
      <c r="J1813" s="508"/>
    </row>
    <row r="1814" spans="1:10" ht="21" customHeight="1">
      <c r="A1814" s="507" t="s">
        <v>1234</v>
      </c>
      <c r="B1814" s="508" t="s">
        <v>808</v>
      </c>
      <c r="C1814" s="508" t="s">
        <v>411</v>
      </c>
      <c r="D1814" s="509">
        <f>1.01*$D$1799</f>
        <v>1.0100000000000003E-3</v>
      </c>
      <c r="E1814" s="509">
        <f>1.01*$E$1799</f>
        <v>1.01E-2</v>
      </c>
      <c r="F1814" s="509">
        <f>1.01*$F$1799</f>
        <v>1.01E-2</v>
      </c>
      <c r="G1814" s="509">
        <f>1.01*$G$1799</f>
        <v>1.01E-2</v>
      </c>
      <c r="H1814" s="509">
        <f>1.01*$H$1799</f>
        <v>1.01E-2</v>
      </c>
      <c r="I1814" s="509">
        <f>1.01*$I$1799</f>
        <v>1.01E-2</v>
      </c>
      <c r="J1814" s="508"/>
    </row>
    <row r="1815" spans="1:10" ht="21" customHeight="1">
      <c r="A1815" s="507" t="s">
        <v>1234</v>
      </c>
      <c r="B1815" s="508" t="s">
        <v>712</v>
      </c>
      <c r="C1815" s="508" t="s">
        <v>411</v>
      </c>
      <c r="D1815" s="509">
        <f>$D$1797</f>
        <v>0</v>
      </c>
      <c r="E1815" s="509">
        <f>$E$1797</f>
        <v>0</v>
      </c>
      <c r="F1815" s="509">
        <f>$F$1797</f>
        <v>32301</v>
      </c>
      <c r="G1815" s="509">
        <f>$G$1797</f>
        <v>82045</v>
      </c>
      <c r="H1815" s="509">
        <f>$H$1797</f>
        <v>182964</v>
      </c>
      <c r="I1815" s="509">
        <f>$I$1797</f>
        <v>210170</v>
      </c>
      <c r="J1815" s="508"/>
    </row>
    <row r="1816" spans="1:10" ht="21" customHeight="1">
      <c r="A1816" s="507" t="s">
        <v>1234</v>
      </c>
      <c r="B1816" s="508" t="s">
        <v>810</v>
      </c>
      <c r="C1816" s="508" t="s">
        <v>397</v>
      </c>
      <c r="D1816" s="509">
        <v>0.13800000000000001</v>
      </c>
      <c r="E1816" s="509">
        <v>0.13800000000000001</v>
      </c>
      <c r="F1816" s="509">
        <v>0.13800000000000001</v>
      </c>
      <c r="G1816" s="509">
        <v>0.13800000000000001</v>
      </c>
      <c r="H1816" s="509">
        <v>0.13800000000000001</v>
      </c>
      <c r="I1816" s="509">
        <f>'Cálculos Daguao'!P28</f>
        <v>0.13800000000000001</v>
      </c>
      <c r="J1816" s="508"/>
    </row>
    <row r="1817" spans="1:10" ht="21" customHeight="1">
      <c r="A1817" s="507" t="s">
        <v>1234</v>
      </c>
      <c r="B1817" s="508" t="s">
        <v>1155</v>
      </c>
      <c r="C1817" s="508" t="s">
        <v>397</v>
      </c>
      <c r="D1817" s="509">
        <v>2000</v>
      </c>
      <c r="E1817" s="509">
        <v>2000</v>
      </c>
      <c r="F1817" s="509">
        <v>2000</v>
      </c>
      <c r="G1817" s="509">
        <v>2000</v>
      </c>
      <c r="H1817" s="509">
        <v>2000</v>
      </c>
      <c r="I1817" s="509">
        <f>'Cálculos Daguao'!H29</f>
        <v>2000</v>
      </c>
      <c r="J1817" s="508"/>
    </row>
    <row r="1818" spans="1:10" ht="21" customHeight="1">
      <c r="A1818" s="507" t="s">
        <v>1234</v>
      </c>
      <c r="B1818" s="508" t="s">
        <v>1238</v>
      </c>
      <c r="C1818" s="508" t="s">
        <v>397</v>
      </c>
      <c r="D1818" s="509">
        <v>2000</v>
      </c>
      <c r="E1818" s="509">
        <v>2000</v>
      </c>
      <c r="F1818" s="509">
        <v>2000</v>
      </c>
      <c r="G1818" s="509">
        <v>2000</v>
      </c>
      <c r="H1818" s="509">
        <v>2000</v>
      </c>
      <c r="I1818" s="509">
        <f>'Cálculos Daguao'!R29</f>
        <v>2000</v>
      </c>
      <c r="J1818" s="508"/>
    </row>
    <row r="1819" spans="1:10" ht="21" customHeight="1">
      <c r="A1819" s="507" t="s">
        <v>1234</v>
      </c>
      <c r="B1819" s="508" t="s">
        <v>570</v>
      </c>
      <c r="C1819" s="508" t="s">
        <v>411</v>
      </c>
      <c r="D1819" s="509">
        <f>($D$1811*$D$1812*$D$1813)/$D$1817</f>
        <v>0</v>
      </c>
      <c r="E1819" s="509">
        <f>($E$1811*$E$1812*$E$1813)/$E$1817</f>
        <v>0</v>
      </c>
      <c r="F1819" s="509">
        <f>($F$1811*$F$1812*$F$1813)/$F$1817</f>
        <v>0</v>
      </c>
      <c r="G1819" s="509">
        <f>($G$1811*$G$1812*$G$1813)/$G$1817</f>
        <v>5.4352624800000006E-2</v>
      </c>
      <c r="H1819" s="509">
        <f>($H$1811*$H$1812*$H$1813)/$H$1817</f>
        <v>0.14148394110000001</v>
      </c>
      <c r="I1819" s="509">
        <f>($I$1811*$I$1812*$I$1813)/$I$1817</f>
        <v>0.19603169790000002</v>
      </c>
      <c r="J1819" s="508"/>
    </row>
    <row r="1820" spans="1:10" ht="21" customHeight="1">
      <c r="A1820" s="507" t="s">
        <v>1234</v>
      </c>
      <c r="B1820" s="508" t="s">
        <v>1239</v>
      </c>
      <c r="C1820" s="508" t="s">
        <v>411</v>
      </c>
      <c r="D1820" s="509">
        <f>($D$1814*$D$1815*$D$1816)/$D$1818</f>
        <v>0</v>
      </c>
      <c r="E1820" s="509">
        <f>($E$1814*$E$1815*$E$1816)/$E$1818</f>
        <v>0</v>
      </c>
      <c r="F1820" s="509">
        <f>($F$1814*$F$1815*$F$1816)/$F$1818</f>
        <v>2.2510566900000001E-2</v>
      </c>
      <c r="G1820" s="509">
        <f>($G$1814*$G$1815*$G$1816)/$G$1818</f>
        <v>5.7177160500000004E-2</v>
      </c>
      <c r="H1820" s="509">
        <f>($H$1814*$H$1815*$H$1816)/$H$1818</f>
        <v>0.12750761160000001</v>
      </c>
      <c r="I1820" s="509">
        <f>($I$1814*$I$1815*$I$1816)/$I$1818</f>
        <v>0.14646747300000001</v>
      </c>
      <c r="J1820" s="508"/>
    </row>
    <row r="1821" spans="1:10" ht="21" customHeight="1">
      <c r="A1821" s="507" t="s">
        <v>1234</v>
      </c>
      <c r="B1821" s="508" t="s">
        <v>573</v>
      </c>
      <c r="C1821" s="508" t="s">
        <v>397</v>
      </c>
      <c r="D1821" s="509">
        <v>0.88</v>
      </c>
      <c r="E1821" s="509">
        <v>0.88</v>
      </c>
      <c r="F1821" s="509">
        <v>0.88</v>
      </c>
      <c r="G1821" s="509">
        <v>0.88</v>
      </c>
      <c r="H1821" s="509">
        <v>0.88</v>
      </c>
      <c r="I1821" s="509">
        <f>'Cálculos Daguao'!B37</f>
        <v>0.88</v>
      </c>
      <c r="J1821" s="508"/>
    </row>
    <row r="1822" spans="1:10" ht="21" customHeight="1">
      <c r="A1822" s="507" t="s">
        <v>1234</v>
      </c>
      <c r="B1822" s="508" t="s">
        <v>1240</v>
      </c>
      <c r="C1822" s="508" t="s">
        <v>411</v>
      </c>
      <c r="D1822" s="509">
        <f>$D$1796</f>
        <v>0</v>
      </c>
      <c r="E1822" s="509">
        <f>$E$1796</f>
        <v>0</v>
      </c>
      <c r="F1822" s="509">
        <f>$F$1796</f>
        <v>0</v>
      </c>
      <c r="G1822" s="509">
        <f>$G$1796</f>
        <v>77992</v>
      </c>
      <c r="H1822" s="509">
        <f>$H$1796</f>
        <v>203019</v>
      </c>
      <c r="I1822" s="509">
        <f>$I$1796</f>
        <v>281291</v>
      </c>
      <c r="J1822" s="508"/>
    </row>
    <row r="1823" spans="1:10" ht="21" customHeight="1">
      <c r="A1823" s="507" t="s">
        <v>1234</v>
      </c>
      <c r="B1823" s="508" t="s">
        <v>574</v>
      </c>
      <c r="C1823" s="508" t="s">
        <v>397</v>
      </c>
      <c r="D1823" s="509">
        <v>0.13800000000000001</v>
      </c>
      <c r="E1823" s="509">
        <v>0.13800000000000001</v>
      </c>
      <c r="F1823" s="509">
        <v>0.13800000000000001</v>
      </c>
      <c r="G1823" s="509">
        <v>0.13800000000000001</v>
      </c>
      <c r="H1823" s="509">
        <v>0.13800000000000001</v>
      </c>
      <c r="I1823" s="509">
        <f>'Cálculos Daguao'!F37</f>
        <v>0.13800000000000001</v>
      </c>
      <c r="J1823" s="508"/>
    </row>
    <row r="1824" spans="1:10" ht="21" customHeight="1">
      <c r="A1824" s="507" t="s">
        <v>1234</v>
      </c>
      <c r="B1824" s="508" t="s">
        <v>1241</v>
      </c>
      <c r="C1824" s="508" t="s">
        <v>397</v>
      </c>
      <c r="D1824" s="509">
        <v>0.88</v>
      </c>
      <c r="E1824" s="509">
        <v>0.88</v>
      </c>
      <c r="F1824" s="509">
        <v>0.88</v>
      </c>
      <c r="G1824" s="509">
        <v>0.88</v>
      </c>
      <c r="H1824" s="509">
        <v>0.88</v>
      </c>
      <c r="I1824" s="509">
        <f>'Cálculos Daguao'!L37</f>
        <v>0.88</v>
      </c>
      <c r="J1824" s="508"/>
    </row>
    <row r="1825" spans="1:10" ht="21" customHeight="1">
      <c r="A1825" s="507" t="s">
        <v>1234</v>
      </c>
      <c r="B1825" s="508" t="s">
        <v>1242</v>
      </c>
      <c r="C1825" s="508" t="s">
        <v>411</v>
      </c>
      <c r="D1825" s="509">
        <f>$D$1797</f>
        <v>0</v>
      </c>
      <c r="E1825" s="509">
        <f>$E$1797</f>
        <v>0</v>
      </c>
      <c r="F1825" s="509">
        <f>$F$1797</f>
        <v>32301</v>
      </c>
      <c r="G1825" s="509">
        <f>$G$1797</f>
        <v>82045</v>
      </c>
      <c r="H1825" s="509">
        <f>$H$1797</f>
        <v>182964</v>
      </c>
      <c r="I1825" s="509">
        <f>$I$1797</f>
        <v>210170</v>
      </c>
      <c r="J1825" s="508"/>
    </row>
    <row r="1826" spans="1:10" ht="21" customHeight="1">
      <c r="A1826" s="507" t="s">
        <v>1234</v>
      </c>
      <c r="B1826" s="508" t="s">
        <v>1243</v>
      </c>
      <c r="C1826" s="508" t="s">
        <v>397</v>
      </c>
      <c r="D1826" s="509">
        <v>0.13800000000000001</v>
      </c>
      <c r="E1826" s="509">
        <v>0.13800000000000001</v>
      </c>
      <c r="F1826" s="509">
        <v>0.13800000000000001</v>
      </c>
      <c r="G1826" s="509">
        <v>0.13800000000000001</v>
      </c>
      <c r="H1826" s="509">
        <v>0.13800000000000001</v>
      </c>
      <c r="I1826" s="509">
        <f>'Cálculos Daguao'!P37</f>
        <v>0.13800000000000001</v>
      </c>
      <c r="J1826" s="508"/>
    </row>
    <row r="1827" spans="1:10" ht="21" customHeight="1">
      <c r="A1827" s="507" t="s">
        <v>1234</v>
      </c>
      <c r="B1827" s="508" t="s">
        <v>618</v>
      </c>
      <c r="C1827" s="508" t="s">
        <v>397</v>
      </c>
      <c r="D1827" s="509">
        <v>2000</v>
      </c>
      <c r="E1827" s="509">
        <v>2000</v>
      </c>
      <c r="F1827" s="509">
        <v>2000</v>
      </c>
      <c r="G1827" s="509">
        <v>2000</v>
      </c>
      <c r="H1827" s="509">
        <v>2000</v>
      </c>
      <c r="I1827" s="509">
        <f>'Cálculos Daguao'!H38</f>
        <v>2000</v>
      </c>
      <c r="J1827" s="508"/>
    </row>
    <row r="1828" spans="1:10" ht="21" customHeight="1">
      <c r="A1828" s="507" t="s">
        <v>1234</v>
      </c>
      <c r="B1828" s="508" t="s">
        <v>621</v>
      </c>
      <c r="C1828" s="508" t="s">
        <v>397</v>
      </c>
      <c r="D1828" s="509">
        <v>2000</v>
      </c>
      <c r="E1828" s="509">
        <v>2000</v>
      </c>
      <c r="F1828" s="509">
        <v>2000</v>
      </c>
      <c r="G1828" s="509">
        <v>2000</v>
      </c>
      <c r="H1828" s="509">
        <v>2000</v>
      </c>
      <c r="I1828" s="509">
        <f>'Cálculos Daguao'!R38</f>
        <v>2000</v>
      </c>
      <c r="J1828" s="508"/>
    </row>
    <row r="1829" spans="1:10" ht="21" customHeight="1">
      <c r="A1829" s="507" t="s">
        <v>1234</v>
      </c>
      <c r="B1829" s="508" t="s">
        <v>575</v>
      </c>
      <c r="C1829" s="508" t="s">
        <v>411</v>
      </c>
      <c r="D1829" s="509">
        <f>($D$1821*$D$1822*$D$1823)/$D$1827</f>
        <v>0</v>
      </c>
      <c r="E1829" s="509">
        <f>($E$1821*$E$1822*$E$1823)/$E$1827</f>
        <v>0</v>
      </c>
      <c r="F1829" s="509">
        <f>($F$1821*$F$1822*$F$1823)/$F$1827</f>
        <v>0</v>
      </c>
      <c r="G1829" s="509">
        <f>($G$1821*$G$1822*$G$1823)/$G$1827</f>
        <v>4.7356742400000016</v>
      </c>
      <c r="H1829" s="509">
        <f>($H$1821*$H$1822*$H$1823)/$H$1827</f>
        <v>12.327313680000001</v>
      </c>
      <c r="I1829" s="509">
        <f>($I$1821*$I$1822*$I$1823)/$I$1827</f>
        <v>17.079989519999998</v>
      </c>
      <c r="J1829" s="508"/>
    </row>
    <row r="1830" spans="1:10" ht="21" customHeight="1">
      <c r="A1830" s="507" t="s">
        <v>1234</v>
      </c>
      <c r="B1830" s="508" t="s">
        <v>1244</v>
      </c>
      <c r="C1830" s="508" t="s">
        <v>411</v>
      </c>
      <c r="D1830" s="509">
        <f>($D$1824*$D$1825*$D$1826)/$D$1828</f>
        <v>0</v>
      </c>
      <c r="E1830" s="509">
        <f>($E$1824*$E$1825*$E$1826)/$E$1828</f>
        <v>0</v>
      </c>
      <c r="F1830" s="509">
        <f>($F$1824*$F$1825*$F$1826)/$F$1828</f>
        <v>1.9613167200000003</v>
      </c>
      <c r="G1830" s="509">
        <f>($G$1824*$G$1825*$G$1826)/$G$1828</f>
        <v>4.9817724000000005</v>
      </c>
      <c r="H1830" s="509">
        <f>($H$1824*$H$1825*$H$1826)/$H$1828</f>
        <v>11.109574080000002</v>
      </c>
      <c r="I1830" s="509">
        <f>($I$1824*$I$1825*$I$1826)/$I$1828</f>
        <v>12.761522400000002</v>
      </c>
      <c r="J1830" s="508"/>
    </row>
    <row r="1831" spans="1:10" ht="21" customHeight="1">
      <c r="A1831" s="507" t="s">
        <v>1234</v>
      </c>
      <c r="B1831" s="508" t="s">
        <v>525</v>
      </c>
      <c r="C1831" s="508" t="s">
        <v>397</v>
      </c>
      <c r="D1831" s="509">
        <v>4.0999999999999999E-4</v>
      </c>
      <c r="E1831" s="509">
        <v>4.0999999999999999E-4</v>
      </c>
      <c r="F1831" s="509">
        <v>4.0999999999999999E-4</v>
      </c>
      <c r="G1831" s="509">
        <v>4.0999999999999999E-4</v>
      </c>
      <c r="H1831" s="509">
        <v>4.0999999999999999E-4</v>
      </c>
      <c r="I1831" s="509">
        <f>'Cálculos Daguao'!B46</f>
        <v>4.0999999999999999E-4</v>
      </c>
      <c r="J1831" s="508"/>
    </row>
    <row r="1832" spans="1:10" ht="21" customHeight="1">
      <c r="A1832" s="507" t="s">
        <v>1234</v>
      </c>
      <c r="B1832" s="508" t="s">
        <v>822</v>
      </c>
      <c r="C1832" s="508" t="s">
        <v>411</v>
      </c>
      <c r="D1832" s="509">
        <f>$D$1796</f>
        <v>0</v>
      </c>
      <c r="E1832" s="509">
        <f>$E$1796</f>
        <v>0</v>
      </c>
      <c r="F1832" s="509">
        <f>$F$1796</f>
        <v>0</v>
      </c>
      <c r="G1832" s="509">
        <f>$G$1796</f>
        <v>77992</v>
      </c>
      <c r="H1832" s="509">
        <f>$H$1796</f>
        <v>203019</v>
      </c>
      <c r="I1832" s="509">
        <f>$I$1796</f>
        <v>281291</v>
      </c>
      <c r="J1832" s="508"/>
    </row>
    <row r="1833" spans="1:10" ht="21" customHeight="1">
      <c r="A1833" s="507" t="s">
        <v>1234</v>
      </c>
      <c r="B1833" s="508" t="s">
        <v>885</v>
      </c>
      <c r="C1833" s="508" t="s">
        <v>397</v>
      </c>
      <c r="D1833" s="509">
        <v>0.13800000000000001</v>
      </c>
      <c r="E1833" s="509">
        <v>0.13800000000000001</v>
      </c>
      <c r="F1833" s="509">
        <v>0.13800000000000001</v>
      </c>
      <c r="G1833" s="509">
        <v>0.13800000000000001</v>
      </c>
      <c r="H1833" s="509">
        <v>0.13800000000000001</v>
      </c>
      <c r="I1833" s="509">
        <f>'Cálculos Daguao'!F46</f>
        <v>0.13800000000000001</v>
      </c>
      <c r="J1833" s="508"/>
    </row>
    <row r="1834" spans="1:10" ht="21" customHeight="1">
      <c r="A1834" s="507" t="s">
        <v>1234</v>
      </c>
      <c r="B1834" s="508" t="s">
        <v>1245</v>
      </c>
      <c r="C1834" s="508" t="s">
        <v>397</v>
      </c>
      <c r="D1834" s="509">
        <v>4.0999999999999999E-4</v>
      </c>
      <c r="E1834" s="509">
        <v>4.0999999999999999E-4</v>
      </c>
      <c r="F1834" s="509">
        <v>4.0999999999999999E-4</v>
      </c>
      <c r="G1834" s="509">
        <v>4.0999999999999999E-4</v>
      </c>
      <c r="H1834" s="509">
        <v>4.0999999999999999E-4</v>
      </c>
      <c r="I1834" s="509">
        <f>'Cálculos Daguao'!L46</f>
        <v>4.0999999999999999E-4</v>
      </c>
      <c r="J1834" s="508"/>
    </row>
    <row r="1835" spans="1:10" ht="21" customHeight="1">
      <c r="A1835" s="507" t="s">
        <v>1234</v>
      </c>
      <c r="B1835" s="508" t="s">
        <v>1246</v>
      </c>
      <c r="C1835" s="508" t="s">
        <v>411</v>
      </c>
      <c r="D1835" s="509">
        <f>$D$1797</f>
        <v>0</v>
      </c>
      <c r="E1835" s="509">
        <f>$E$1797</f>
        <v>0</v>
      </c>
      <c r="F1835" s="509">
        <f>$F$1797</f>
        <v>32301</v>
      </c>
      <c r="G1835" s="509">
        <f>$G$1797</f>
        <v>82045</v>
      </c>
      <c r="H1835" s="509">
        <f>$H$1797</f>
        <v>182964</v>
      </c>
      <c r="I1835" s="509">
        <f>$I$1797</f>
        <v>210170</v>
      </c>
      <c r="J1835" s="508"/>
    </row>
    <row r="1836" spans="1:10" ht="21" customHeight="1">
      <c r="A1836" s="507" t="s">
        <v>1234</v>
      </c>
      <c r="B1836" s="508" t="s">
        <v>1247</v>
      </c>
      <c r="C1836" s="508" t="s">
        <v>397</v>
      </c>
      <c r="D1836" s="509">
        <v>0.13800000000000001</v>
      </c>
      <c r="E1836" s="509">
        <v>0.13800000000000001</v>
      </c>
      <c r="F1836" s="509">
        <v>0.13800000000000001</v>
      </c>
      <c r="G1836" s="509">
        <v>0.13800000000000001</v>
      </c>
      <c r="H1836" s="509">
        <v>0.13800000000000001</v>
      </c>
      <c r="I1836" s="509">
        <f>'Cálculos Daguao'!P46</f>
        <v>0.13800000000000001</v>
      </c>
      <c r="J1836" s="508"/>
    </row>
    <row r="1837" spans="1:10" ht="21" customHeight="1">
      <c r="A1837" s="507" t="s">
        <v>1234</v>
      </c>
      <c r="B1837" s="508" t="s">
        <v>892</v>
      </c>
      <c r="C1837" s="508" t="s">
        <v>397</v>
      </c>
      <c r="D1837" s="509">
        <v>2000</v>
      </c>
      <c r="E1837" s="509">
        <v>2000</v>
      </c>
      <c r="F1837" s="509">
        <v>2000</v>
      </c>
      <c r="G1837" s="509">
        <v>2000</v>
      </c>
      <c r="H1837" s="509">
        <v>2000</v>
      </c>
      <c r="I1837" s="509">
        <f>'Cálculos Daguao'!H47</f>
        <v>2000</v>
      </c>
      <c r="J1837" s="508"/>
    </row>
    <row r="1838" spans="1:10" ht="21" customHeight="1">
      <c r="A1838" s="507" t="s">
        <v>1234</v>
      </c>
      <c r="B1838" s="508" t="s">
        <v>1248</v>
      </c>
      <c r="C1838" s="508" t="s">
        <v>397</v>
      </c>
      <c r="D1838" s="509">
        <v>2000</v>
      </c>
      <c r="E1838" s="509">
        <v>2000</v>
      </c>
      <c r="F1838" s="509">
        <v>2000</v>
      </c>
      <c r="G1838" s="509">
        <v>2000</v>
      </c>
      <c r="H1838" s="509">
        <v>2000</v>
      </c>
      <c r="I1838" s="509">
        <f>'Cálculos Daguao'!R47</f>
        <v>2000</v>
      </c>
      <c r="J1838" s="508"/>
    </row>
    <row r="1839" spans="1:10" ht="21" customHeight="1">
      <c r="A1839" s="507" t="s">
        <v>1234</v>
      </c>
      <c r="B1839" s="508" t="s">
        <v>727</v>
      </c>
      <c r="C1839" s="508" t="s">
        <v>411</v>
      </c>
      <c r="D1839" s="509">
        <f>($D$1831*$D$1832*$D$1833)/$D$1837</f>
        <v>0</v>
      </c>
      <c r="E1839" s="509">
        <f>($E$1831*$E$1832*$E$1833)/$E$1837</f>
        <v>0</v>
      </c>
      <c r="F1839" s="509">
        <f>($F$1831*$F$1832*$F$1833)/$F$1837</f>
        <v>0</v>
      </c>
      <c r="G1839" s="509">
        <f>($G$1831*$G$1832*$G$1833)/$G$1837</f>
        <v>2.20639368E-3</v>
      </c>
      <c r="H1839" s="509">
        <f>($H$1831*$H$1832*$H$1833)/$H$1837</f>
        <v>5.7434075100000004E-3</v>
      </c>
      <c r="I1839" s="509">
        <f>($I$1831*$I$1832*$I$1833)/$I$1837</f>
        <v>7.9577223899999997E-3</v>
      </c>
      <c r="J1839" s="508"/>
    </row>
    <row r="1840" spans="1:10" ht="21" customHeight="1">
      <c r="A1840" s="507" t="s">
        <v>1234</v>
      </c>
      <c r="B1840" s="508" t="s">
        <v>1249</v>
      </c>
      <c r="C1840" s="508" t="s">
        <v>411</v>
      </c>
      <c r="D1840" s="509">
        <f>($D$1834*$D$1835*$D$1836)/$D$1838</f>
        <v>0</v>
      </c>
      <c r="E1840" s="509">
        <f>($E$1834*$E$1835*$E$1836)/$E$1838</f>
        <v>0</v>
      </c>
      <c r="F1840" s="509">
        <f>($F$1834*$F$1835*$F$1836)/$F$1838</f>
        <v>9.1379529000000005E-4</v>
      </c>
      <c r="G1840" s="509">
        <f>($G$1834*$G$1835*$G$1836)/$G$1838</f>
        <v>2.3210530500000002E-3</v>
      </c>
      <c r="H1840" s="509">
        <f>($H$1834*$H$1835*$H$1836)/$H$1838</f>
        <v>5.1760515599999996E-3</v>
      </c>
      <c r="I1840" s="509">
        <f>($I$1834*$I$1835*$I$1836)/$I$1838</f>
        <v>5.9457093000000001E-3</v>
      </c>
      <c r="J1840" s="508"/>
    </row>
    <row r="1841" spans="1:10" ht="21" customHeight="1">
      <c r="A1841" s="507" t="s">
        <v>1234</v>
      </c>
      <c r="B1841" s="508" t="s">
        <v>641</v>
      </c>
      <c r="C1841" s="508" t="s">
        <v>397</v>
      </c>
      <c r="D1841" s="509">
        <v>3.3E-3</v>
      </c>
      <c r="E1841" s="509">
        <v>3.3E-3</v>
      </c>
      <c r="F1841" s="509">
        <v>3.3E-3</v>
      </c>
      <c r="G1841" s="509">
        <v>3.3E-3</v>
      </c>
      <c r="H1841" s="509">
        <v>3.3E-3</v>
      </c>
      <c r="I1841" s="509">
        <f>'Cálculos Daguao'!B59</f>
        <v>3.3E-3</v>
      </c>
      <c r="J1841" s="508"/>
    </row>
    <row r="1842" spans="1:10" ht="21" customHeight="1">
      <c r="A1842" s="507" t="s">
        <v>1234</v>
      </c>
      <c r="B1842" s="508" t="s">
        <v>1250</v>
      </c>
      <c r="C1842" s="508" t="s">
        <v>411</v>
      </c>
      <c r="D1842" s="509">
        <f>$D$1796</f>
        <v>0</v>
      </c>
      <c r="E1842" s="509">
        <f>$E$1796</f>
        <v>0</v>
      </c>
      <c r="F1842" s="509">
        <f>$F$1796</f>
        <v>0</v>
      </c>
      <c r="G1842" s="509">
        <f>$G$1796</f>
        <v>77992</v>
      </c>
      <c r="H1842" s="509">
        <f>$H$1796</f>
        <v>203019</v>
      </c>
      <c r="I1842" s="509">
        <f>$I$1796</f>
        <v>281291</v>
      </c>
      <c r="J1842" s="508"/>
    </row>
    <row r="1843" spans="1:10" ht="21" customHeight="1">
      <c r="A1843" s="507" t="s">
        <v>1234</v>
      </c>
      <c r="B1843" s="508" t="s">
        <v>849</v>
      </c>
      <c r="C1843" s="508" t="s">
        <v>397</v>
      </c>
      <c r="D1843" s="509">
        <v>0.13800000000000001</v>
      </c>
      <c r="E1843" s="509">
        <v>0.13800000000000001</v>
      </c>
      <c r="F1843" s="509">
        <v>0.13800000000000001</v>
      </c>
      <c r="G1843" s="509">
        <v>0.13800000000000001</v>
      </c>
      <c r="H1843" s="509">
        <v>0.13800000000000001</v>
      </c>
      <c r="I1843" s="509">
        <f>'Cálculos Daguao'!F59</f>
        <v>0.13800000000000001</v>
      </c>
      <c r="J1843" s="508"/>
    </row>
    <row r="1844" spans="1:10" ht="21" customHeight="1">
      <c r="A1844" s="507" t="s">
        <v>1234</v>
      </c>
      <c r="B1844" s="508" t="s">
        <v>1251</v>
      </c>
      <c r="C1844" s="508" t="s">
        <v>397</v>
      </c>
      <c r="D1844" s="509">
        <v>3.3E-3</v>
      </c>
      <c r="E1844" s="509">
        <v>3.3E-3</v>
      </c>
      <c r="F1844" s="509">
        <v>3.3E-3</v>
      </c>
      <c r="G1844" s="509">
        <v>3.3E-3</v>
      </c>
      <c r="H1844" s="509">
        <v>3.3E-3</v>
      </c>
      <c r="I1844" s="509">
        <f>'Cálculos Daguao'!L59</f>
        <v>3.3E-3</v>
      </c>
      <c r="J1844" s="508"/>
    </row>
    <row r="1845" spans="1:10" ht="21" customHeight="1">
      <c r="A1845" s="507" t="s">
        <v>1234</v>
      </c>
      <c r="B1845" s="508" t="s">
        <v>1252</v>
      </c>
      <c r="C1845" s="508" t="s">
        <v>411</v>
      </c>
      <c r="D1845" s="509">
        <f>$D$1797</f>
        <v>0</v>
      </c>
      <c r="E1845" s="509">
        <f>$E$1797</f>
        <v>0</v>
      </c>
      <c r="F1845" s="509">
        <f>$F$1797</f>
        <v>32301</v>
      </c>
      <c r="G1845" s="509">
        <f>$G$1797</f>
        <v>82045</v>
      </c>
      <c r="H1845" s="509">
        <f>$H$1797</f>
        <v>182964</v>
      </c>
      <c r="I1845" s="509">
        <f>$I$1797</f>
        <v>210170</v>
      </c>
      <c r="J1845" s="508"/>
    </row>
    <row r="1846" spans="1:10" ht="21" customHeight="1">
      <c r="A1846" s="507" t="s">
        <v>1234</v>
      </c>
      <c r="B1846" s="508" t="s">
        <v>917</v>
      </c>
      <c r="C1846" s="508" t="s">
        <v>397</v>
      </c>
      <c r="D1846" s="509">
        <v>0.13800000000000001</v>
      </c>
      <c r="E1846" s="509">
        <v>0.13800000000000001</v>
      </c>
      <c r="F1846" s="509">
        <v>0.13800000000000001</v>
      </c>
      <c r="G1846" s="509">
        <v>0.13800000000000001</v>
      </c>
      <c r="H1846" s="509">
        <v>0.13800000000000001</v>
      </c>
      <c r="I1846" s="509">
        <f>'Cálculos Daguao'!P59</f>
        <v>0.13800000000000001</v>
      </c>
      <c r="J1846" s="508"/>
    </row>
    <row r="1847" spans="1:10" ht="21" customHeight="1">
      <c r="A1847" s="507" t="s">
        <v>1234</v>
      </c>
      <c r="B1847" s="508" t="s">
        <v>1253</v>
      </c>
      <c r="C1847" s="508" t="s">
        <v>397</v>
      </c>
      <c r="D1847" s="509">
        <v>2000</v>
      </c>
      <c r="E1847" s="509">
        <v>2000</v>
      </c>
      <c r="F1847" s="509">
        <v>2000</v>
      </c>
      <c r="G1847" s="509">
        <v>2000</v>
      </c>
      <c r="H1847" s="509">
        <v>2000</v>
      </c>
      <c r="I1847" s="509">
        <f>'Cálculos Daguao'!H60</f>
        <v>2000</v>
      </c>
      <c r="J1847" s="508"/>
    </row>
    <row r="1848" spans="1:10" ht="21" customHeight="1">
      <c r="A1848" s="507" t="s">
        <v>1234</v>
      </c>
      <c r="B1848" s="508" t="s">
        <v>1254</v>
      </c>
      <c r="C1848" s="508" t="s">
        <v>397</v>
      </c>
      <c r="D1848" s="509">
        <v>2000</v>
      </c>
      <c r="E1848" s="509">
        <v>2000</v>
      </c>
      <c r="F1848" s="509">
        <v>2000</v>
      </c>
      <c r="G1848" s="509">
        <v>2000</v>
      </c>
      <c r="H1848" s="509">
        <v>2000</v>
      </c>
      <c r="I1848" s="509">
        <f>'Cálculos Daguao'!R60</f>
        <v>2000</v>
      </c>
      <c r="J1848" s="508"/>
    </row>
    <row r="1849" spans="1:10" ht="21" customHeight="1">
      <c r="A1849" s="507" t="s">
        <v>1234</v>
      </c>
      <c r="B1849" s="508" t="s">
        <v>581</v>
      </c>
      <c r="C1849" s="508" t="s">
        <v>411</v>
      </c>
      <c r="D1849" s="509">
        <f>($D$1841*$D$1842*$D$1843)/$D$1847</f>
        <v>0</v>
      </c>
      <c r="E1849" s="509">
        <f>($E$1841*$E$1842*$E$1843)/$E$1847</f>
        <v>0</v>
      </c>
      <c r="F1849" s="509">
        <f>($F$1841*$F$1842*$F$1843)/$F$1847</f>
        <v>0</v>
      </c>
      <c r="G1849" s="509">
        <f>($G$1841*$G$1842*$G$1843)/$G$1847</f>
        <v>1.7758778400000001E-2</v>
      </c>
      <c r="H1849" s="509">
        <f>($H$1841*$H$1842*$H$1843)/$H$1847</f>
        <v>4.6227426300000006E-2</v>
      </c>
      <c r="I1849" s="509">
        <f>($I$1841*$I$1842*$I$1843)/$I$1847</f>
        <v>6.4049960700000019E-2</v>
      </c>
      <c r="J1849" s="508"/>
    </row>
    <row r="1850" spans="1:10" ht="21" customHeight="1">
      <c r="A1850" s="507" t="s">
        <v>1234</v>
      </c>
      <c r="B1850" s="508" t="s">
        <v>1255</v>
      </c>
      <c r="C1850" s="508" t="s">
        <v>411</v>
      </c>
      <c r="D1850" s="509">
        <f>($D$1844*$D$1845*$D$1846)/$D$1848</f>
        <v>0</v>
      </c>
      <c r="E1850" s="509">
        <f>($E$1844*$E$1845*$E$1846)/$E$1848</f>
        <v>0</v>
      </c>
      <c r="F1850" s="509">
        <f>($F$1844*$F$1845*$F$1846)/$F$1848</f>
        <v>7.3549377000000004E-3</v>
      </c>
      <c r="G1850" s="509">
        <f>($G$1844*$G$1845*$G$1846)/$G$1848</f>
        <v>1.8681646499999999E-2</v>
      </c>
      <c r="H1850" s="509">
        <f>($H$1844*$H$1845*$H$1846)/$H$1848</f>
        <v>4.1660902800000003E-2</v>
      </c>
      <c r="I1850" s="509">
        <f>($I$1844*$I$1845*$I$1846)/$I$1848</f>
        <v>4.7855709000000003E-2</v>
      </c>
      <c r="J1850" s="508"/>
    </row>
    <row r="1851" spans="1:10" ht="21" customHeight="1">
      <c r="A1851" s="507" t="s">
        <v>1234</v>
      </c>
      <c r="B1851" s="508" t="s">
        <v>648</v>
      </c>
      <c r="C1851" s="508" t="s">
        <v>397</v>
      </c>
      <c r="D1851" s="509">
        <v>1.4E-5</v>
      </c>
      <c r="E1851" s="509">
        <v>1.4E-5</v>
      </c>
      <c r="F1851" s="509">
        <v>1.4E-5</v>
      </c>
      <c r="G1851" s="509">
        <v>1.4E-5</v>
      </c>
      <c r="H1851" s="509">
        <v>1.4E-5</v>
      </c>
      <c r="I1851" s="509">
        <f>'Cálculos Daguao'!B68</f>
        <v>1.4E-5</v>
      </c>
      <c r="J1851" s="508"/>
    </row>
    <row r="1852" spans="1:10" ht="21" customHeight="1">
      <c r="A1852" s="507" t="s">
        <v>1234</v>
      </c>
      <c r="B1852" s="508" t="s">
        <v>852</v>
      </c>
      <c r="C1852" s="508" t="s">
        <v>411</v>
      </c>
      <c r="D1852" s="509">
        <f>$D$1796</f>
        <v>0</v>
      </c>
      <c r="E1852" s="509">
        <f>$E$1796</f>
        <v>0</v>
      </c>
      <c r="F1852" s="509">
        <f>$F$1796</f>
        <v>0</v>
      </c>
      <c r="G1852" s="509">
        <f>$G$1796</f>
        <v>77992</v>
      </c>
      <c r="H1852" s="509">
        <f>$H$1796</f>
        <v>203019</v>
      </c>
      <c r="I1852" s="509">
        <f>$I$1796</f>
        <v>281291</v>
      </c>
      <c r="J1852" s="508"/>
    </row>
    <row r="1853" spans="1:10" ht="21" customHeight="1">
      <c r="A1853" s="507" t="s">
        <v>1234</v>
      </c>
      <c r="B1853" s="508" t="s">
        <v>1256</v>
      </c>
      <c r="C1853" s="508" t="s">
        <v>397</v>
      </c>
      <c r="D1853" s="509">
        <v>0.13800000000000001</v>
      </c>
      <c r="E1853" s="509">
        <v>0.13800000000000001</v>
      </c>
      <c r="F1853" s="509">
        <v>0.13800000000000001</v>
      </c>
      <c r="G1853" s="509">
        <v>0.13800000000000001</v>
      </c>
      <c r="H1853" s="509">
        <v>0.13800000000000001</v>
      </c>
      <c r="I1853" s="509">
        <f>'Cálculos Daguao'!F68</f>
        <v>0.13800000000000001</v>
      </c>
      <c r="J1853" s="508"/>
    </row>
    <row r="1854" spans="1:10" ht="21" customHeight="1">
      <c r="A1854" s="507" t="s">
        <v>1234</v>
      </c>
      <c r="B1854" s="508" t="s">
        <v>920</v>
      </c>
      <c r="C1854" s="508" t="s">
        <v>397</v>
      </c>
      <c r="D1854" s="509">
        <v>1.4E-5</v>
      </c>
      <c r="E1854" s="509">
        <v>1.4E-5</v>
      </c>
      <c r="F1854" s="509">
        <v>1.4E-5</v>
      </c>
      <c r="G1854" s="509">
        <v>1.4E-5</v>
      </c>
      <c r="H1854" s="509">
        <v>1.4E-5</v>
      </c>
      <c r="I1854" s="509">
        <f>'Cálculos Daguao'!L68</f>
        <v>1.4E-5</v>
      </c>
      <c r="J1854" s="508"/>
    </row>
    <row r="1855" spans="1:10" ht="21" customHeight="1">
      <c r="A1855" s="507" t="s">
        <v>1234</v>
      </c>
      <c r="B1855" s="508" t="s">
        <v>921</v>
      </c>
      <c r="C1855" s="508" t="s">
        <v>411</v>
      </c>
      <c r="D1855" s="509">
        <f>$D$1797</f>
        <v>0</v>
      </c>
      <c r="E1855" s="509">
        <f>$E$1797</f>
        <v>0</v>
      </c>
      <c r="F1855" s="509">
        <f>$F$1797</f>
        <v>32301</v>
      </c>
      <c r="G1855" s="509">
        <f>$G$1797</f>
        <v>82045</v>
      </c>
      <c r="H1855" s="509">
        <f>$H$1797</f>
        <v>182964</v>
      </c>
      <c r="I1855" s="509">
        <f>$I$1797</f>
        <v>210170</v>
      </c>
      <c r="J1855" s="508"/>
    </row>
    <row r="1856" spans="1:10" ht="21" customHeight="1">
      <c r="A1856" s="507" t="s">
        <v>1234</v>
      </c>
      <c r="B1856" s="508" t="s">
        <v>1257</v>
      </c>
      <c r="C1856" s="508" t="s">
        <v>397</v>
      </c>
      <c r="D1856" s="509">
        <v>0.13800000000000001</v>
      </c>
      <c r="E1856" s="509">
        <v>0.13800000000000001</v>
      </c>
      <c r="F1856" s="509">
        <v>0.13800000000000001</v>
      </c>
      <c r="G1856" s="509">
        <v>0.13800000000000001</v>
      </c>
      <c r="H1856" s="509">
        <v>0.13800000000000001</v>
      </c>
      <c r="I1856" s="509">
        <f>'Cálculos Daguao'!P68</f>
        <v>0.13800000000000001</v>
      </c>
      <c r="J1856" s="508"/>
    </row>
    <row r="1857" spans="1:10" ht="21" customHeight="1">
      <c r="A1857" s="507" t="s">
        <v>1234</v>
      </c>
      <c r="B1857" s="508" t="s">
        <v>1258</v>
      </c>
      <c r="C1857" s="508" t="s">
        <v>397</v>
      </c>
      <c r="D1857" s="509">
        <v>2000</v>
      </c>
      <c r="E1857" s="509">
        <v>2000</v>
      </c>
      <c r="F1857" s="509">
        <v>2000</v>
      </c>
      <c r="G1857" s="509">
        <v>2000</v>
      </c>
      <c r="H1857" s="509">
        <v>2000</v>
      </c>
      <c r="I1857" s="509">
        <f>'Cálculos Daguao'!H69</f>
        <v>2000</v>
      </c>
      <c r="J1857" s="508"/>
    </row>
    <row r="1858" spans="1:10" ht="21" customHeight="1">
      <c r="A1858" s="507" t="s">
        <v>1234</v>
      </c>
      <c r="B1858" s="508" t="s">
        <v>1259</v>
      </c>
      <c r="C1858" s="508" t="s">
        <v>397</v>
      </c>
      <c r="D1858" s="509">
        <v>2000</v>
      </c>
      <c r="E1858" s="509">
        <v>2000</v>
      </c>
      <c r="F1858" s="509">
        <v>2000</v>
      </c>
      <c r="G1858" s="509">
        <v>2000</v>
      </c>
      <c r="H1858" s="509">
        <v>2000</v>
      </c>
      <c r="I1858" s="509">
        <f>'Cálculos Daguao'!R69</f>
        <v>2000</v>
      </c>
      <c r="J1858" s="508"/>
    </row>
    <row r="1859" spans="1:10" ht="21" customHeight="1">
      <c r="A1859" s="507" t="s">
        <v>1234</v>
      </c>
      <c r="B1859" s="508" t="s">
        <v>586</v>
      </c>
      <c r="C1859" s="508" t="s">
        <v>411</v>
      </c>
      <c r="D1859" s="509">
        <f>($D$1851*$D$1852*$D$1853)/$D$1857</f>
        <v>0</v>
      </c>
      <c r="E1859" s="509">
        <f>($E$1851*$E$1852*$E$1853)/$E$1857</f>
        <v>0</v>
      </c>
      <c r="F1859" s="509">
        <f>($F$1851*$F$1852*$F$1853)/$F$1857</f>
        <v>0</v>
      </c>
      <c r="G1859" s="509">
        <f>($G$1851*$G$1852*$G$1853)/$G$1857</f>
        <v>7.5340272000000004E-5</v>
      </c>
      <c r="H1859" s="509">
        <f>($H$1851*$H$1852*$H$1853)/$H$1857</f>
        <v>1.9611635400000003E-4</v>
      </c>
      <c r="I1859" s="509">
        <f>($I$1851*$I$1852*$I$1853)/$I$1857</f>
        <v>2.7172710599999999E-4</v>
      </c>
      <c r="J1859" s="508"/>
    </row>
    <row r="1860" spans="1:10" ht="21" customHeight="1">
      <c r="A1860" s="507" t="s">
        <v>1234</v>
      </c>
      <c r="B1860" s="508" t="s">
        <v>1260</v>
      </c>
      <c r="C1860" s="508" t="s">
        <v>411</v>
      </c>
      <c r="D1860" s="509">
        <f>($D$1854*$D$1855*$D$1856)/$D$1858</f>
        <v>0</v>
      </c>
      <c r="E1860" s="509">
        <f>($E$1854*$E$1855*$E$1856)/$E$1858</f>
        <v>0</v>
      </c>
      <c r="F1860" s="509">
        <f>($F$1854*$F$1855*$F$1856)/$F$1858</f>
        <v>3.1202766000000006E-5</v>
      </c>
      <c r="G1860" s="509">
        <f>($G$1854*$G$1855*$G$1856)/$G$1858</f>
        <v>7.9255470000000005E-5</v>
      </c>
      <c r="H1860" s="509">
        <f>($H$1854*$H$1855*$H$1856)/$H$1858</f>
        <v>1.7674322400000001E-4</v>
      </c>
      <c r="I1860" s="509">
        <f>($I$1854*$I$1855*$I$1856)/$I$1858</f>
        <v>2.0302422000000001E-4</v>
      </c>
      <c r="J1860" s="508"/>
    </row>
    <row r="1861" spans="1:10" ht="21" customHeight="1">
      <c r="A1861" s="507" t="s">
        <v>1234</v>
      </c>
      <c r="B1861" s="508" t="s">
        <v>659</v>
      </c>
      <c r="C1861" s="508" t="s">
        <v>411</v>
      </c>
      <c r="D1861" s="509">
        <f>$D$1800</f>
        <v>22.578420600240001</v>
      </c>
      <c r="E1861" s="509">
        <f>$E$1800</f>
        <v>22.578420600240001</v>
      </c>
      <c r="F1861" s="509">
        <f>$F$1800</f>
        <v>22.578420600240001</v>
      </c>
      <c r="G1861" s="509">
        <f>$G$1800</f>
        <v>22.578420600240001</v>
      </c>
      <c r="H1861" s="509">
        <f>$H$1800</f>
        <v>22.578420600240001</v>
      </c>
      <c r="I1861" s="509">
        <f>$I$1800</f>
        <v>22.578420600240001</v>
      </c>
      <c r="J1861" s="508"/>
    </row>
    <row r="1862" spans="1:10" ht="21" customHeight="1">
      <c r="A1862" s="507" t="s">
        <v>1234</v>
      </c>
      <c r="B1862" s="508" t="s">
        <v>1261</v>
      </c>
      <c r="C1862" s="508" t="s">
        <v>411</v>
      </c>
      <c r="D1862" s="509">
        <f>$D$1852</f>
        <v>0</v>
      </c>
      <c r="E1862" s="509">
        <f>$E$1852</f>
        <v>0</v>
      </c>
      <c r="F1862" s="509">
        <f>$F$1852</f>
        <v>0</v>
      </c>
      <c r="G1862" s="509">
        <f>$G$1852</f>
        <v>77992</v>
      </c>
      <c r="H1862" s="509">
        <f>$H$1852</f>
        <v>203019</v>
      </c>
      <c r="I1862" s="509">
        <f>$I$1852</f>
        <v>281291</v>
      </c>
      <c r="J1862" s="508"/>
    </row>
    <row r="1863" spans="1:10" ht="21" customHeight="1">
      <c r="A1863" s="507" t="s">
        <v>1234</v>
      </c>
      <c r="B1863" s="508" t="s">
        <v>1262</v>
      </c>
      <c r="C1863" s="508" t="s">
        <v>411</v>
      </c>
      <c r="D1863" s="509">
        <f>$D$1800</f>
        <v>22.578420600240001</v>
      </c>
      <c r="E1863" s="509">
        <f>$E$1800</f>
        <v>22.578420600240001</v>
      </c>
      <c r="F1863" s="509">
        <f>$F$1800</f>
        <v>22.578420600240001</v>
      </c>
      <c r="G1863" s="509">
        <f>$G$1800</f>
        <v>22.578420600240001</v>
      </c>
      <c r="H1863" s="509">
        <f>$H$1800</f>
        <v>22.578420600240001</v>
      </c>
      <c r="I1863" s="509">
        <f>$I$1800</f>
        <v>22.578420600240001</v>
      </c>
      <c r="J1863" s="508"/>
    </row>
    <row r="1864" spans="1:10" ht="21" customHeight="1">
      <c r="A1864" s="507" t="s">
        <v>1234</v>
      </c>
      <c r="B1864" s="508" t="s">
        <v>1263</v>
      </c>
      <c r="C1864" s="508" t="s">
        <v>411</v>
      </c>
      <c r="D1864" s="509">
        <f>$D$1855</f>
        <v>0</v>
      </c>
      <c r="E1864" s="509">
        <f>$E$1855</f>
        <v>0</v>
      </c>
      <c r="F1864" s="509">
        <f>$F$1855</f>
        <v>32301</v>
      </c>
      <c r="G1864" s="509">
        <f>$G$1855</f>
        <v>82045</v>
      </c>
      <c r="H1864" s="509">
        <f>$H$1855</f>
        <v>182964</v>
      </c>
      <c r="I1864" s="509">
        <f>$I$1855</f>
        <v>210170</v>
      </c>
      <c r="J1864" s="508"/>
    </row>
    <row r="1865" spans="1:10" ht="21" customHeight="1">
      <c r="A1865" s="507" t="s">
        <v>1234</v>
      </c>
      <c r="B1865" s="508" t="s">
        <v>1264</v>
      </c>
      <c r="C1865" s="508" t="s">
        <v>397</v>
      </c>
      <c r="D1865" s="509">
        <v>2000</v>
      </c>
      <c r="E1865" s="509">
        <v>2000</v>
      </c>
      <c r="F1865" s="509">
        <v>2000</v>
      </c>
      <c r="G1865" s="509">
        <v>2000</v>
      </c>
      <c r="H1865" s="509">
        <v>2000</v>
      </c>
      <c r="I1865" s="509">
        <f>'Cálculos Daguao'!F78</f>
        <v>2000</v>
      </c>
      <c r="J1865" s="508"/>
    </row>
    <row r="1866" spans="1:10" ht="21" customHeight="1">
      <c r="A1866" s="507" t="s">
        <v>1234</v>
      </c>
      <c r="B1866" s="508" t="s">
        <v>1265</v>
      </c>
      <c r="C1866" s="508" t="s">
        <v>397</v>
      </c>
      <c r="D1866" s="509">
        <v>2000</v>
      </c>
      <c r="E1866" s="509">
        <v>2000</v>
      </c>
      <c r="F1866" s="509">
        <v>2000</v>
      </c>
      <c r="G1866" s="509">
        <v>2000</v>
      </c>
      <c r="H1866" s="509">
        <v>2000</v>
      </c>
      <c r="I1866" s="509">
        <f>'Cálculos Daguao'!P78</f>
        <v>2000</v>
      </c>
      <c r="J1866" s="508"/>
    </row>
    <row r="1867" spans="1:10" ht="21" customHeight="1">
      <c r="A1867" s="507" t="s">
        <v>1234</v>
      </c>
      <c r="B1867" s="508" t="s">
        <v>740</v>
      </c>
      <c r="C1867" s="508" t="s">
        <v>411</v>
      </c>
      <c r="D1867" s="509">
        <f>$D$1861*$D$1862/$D$1865</f>
        <v>0</v>
      </c>
      <c r="E1867" s="509">
        <f>$E$1861*$E$1862/$E$1865</f>
        <v>0</v>
      </c>
      <c r="F1867" s="509">
        <f>$F$1861*$F$1862/$F$1865</f>
        <v>0</v>
      </c>
      <c r="G1867" s="509">
        <f>$G$1861*$G$1862/$G$1865</f>
        <v>880.46808972695908</v>
      </c>
      <c r="H1867" s="509">
        <f>$H$1861*$H$1862/$H$1865</f>
        <v>2291.9241859200624</v>
      </c>
      <c r="I1867" s="509">
        <f>$I$1861*$I$1862/$I$1865</f>
        <v>3175.5532545310552</v>
      </c>
      <c r="J1867" s="508"/>
    </row>
    <row r="1868" spans="1:10" ht="21" customHeight="1">
      <c r="A1868" s="507" t="s">
        <v>1234</v>
      </c>
      <c r="B1868" s="508" t="s">
        <v>1266</v>
      </c>
      <c r="C1868" s="508" t="s">
        <v>411</v>
      </c>
      <c r="D1868" s="509">
        <f>$D$1863*$D$1864/$D$1866</f>
        <v>0</v>
      </c>
      <c r="E1868" s="509">
        <f>$E$1863*$E$1864/$E$1866</f>
        <v>0</v>
      </c>
      <c r="F1868" s="509">
        <f>$F$1863*$F$1864/$F$1866</f>
        <v>364.65278190417609</v>
      </c>
      <c r="G1868" s="509">
        <f>$G$1863*$G$1864/$G$1866</f>
        <v>926.2232590733455</v>
      </c>
      <c r="H1868" s="509">
        <f>$H$1863*$H$1864/$H$1866</f>
        <v>2065.5190733511558</v>
      </c>
      <c r="I1868" s="509">
        <f>$I$1863*$I$1864/$I$1866</f>
        <v>2372.6533287762204</v>
      </c>
      <c r="J1868" s="508"/>
    </row>
    <row r="1869" spans="1:10" ht="21" customHeight="1">
      <c r="A1869" s="510" t="s">
        <v>1267</v>
      </c>
      <c r="B1869" s="506"/>
      <c r="C1869" s="506"/>
      <c r="D1869" s="511"/>
      <c r="E1869" s="511"/>
      <c r="F1869" s="511"/>
      <c r="G1869" s="511"/>
      <c r="H1869" s="511"/>
      <c r="I1869" s="512"/>
      <c r="J1869" s="506"/>
    </row>
    <row r="1870" spans="1:10" ht="21" customHeight="1">
      <c r="A1870" s="507" t="s">
        <v>1267</v>
      </c>
      <c r="B1870" s="508" t="s">
        <v>926</v>
      </c>
      <c r="C1870" s="508" t="s">
        <v>411</v>
      </c>
      <c r="D1870" s="509">
        <f>$D$1809+$D$1810</f>
        <v>0</v>
      </c>
      <c r="E1870" s="509">
        <f>$E$1809+$E$1810</f>
        <v>0</v>
      </c>
      <c r="F1870" s="509">
        <f>$F$1809+$F$1810</f>
        <v>2.6745228000000003E-2</v>
      </c>
      <c r="G1870" s="509">
        <f>$G$1809+$G$1810</f>
        <v>0.13251063600000001</v>
      </c>
      <c r="H1870" s="509">
        <f>$H$1809+$H$1810</f>
        <v>0.31959392400000008</v>
      </c>
      <c r="I1870" s="509">
        <f>$I$1809+$I$1810</f>
        <v>0.40692970800000006</v>
      </c>
      <c r="J1870" s="508" t="s">
        <v>11</v>
      </c>
    </row>
    <row r="1871" spans="1:10" ht="21" customHeight="1">
      <c r="A1871" s="507" t="s">
        <v>1267</v>
      </c>
      <c r="B1871" s="508" t="s">
        <v>661</v>
      </c>
      <c r="C1871" s="508" t="s">
        <v>411</v>
      </c>
      <c r="D1871" s="509">
        <f>$D$1819+$D$1820</f>
        <v>0</v>
      </c>
      <c r="E1871" s="509">
        <f>$E$1819+$E$1820</f>
        <v>0</v>
      </c>
      <c r="F1871" s="509">
        <f>$F$1819+$F$1820</f>
        <v>2.2510566900000001E-2</v>
      </c>
      <c r="G1871" s="509">
        <f>$G$1819+$G$1820</f>
        <v>0.11152978530000002</v>
      </c>
      <c r="H1871" s="509">
        <f>$H$1819+$H$1820</f>
        <v>0.26899155270000003</v>
      </c>
      <c r="I1871" s="509">
        <f>$I$1819+$I$1820</f>
        <v>0.34249917090000004</v>
      </c>
      <c r="J1871" s="508" t="s">
        <v>35</v>
      </c>
    </row>
    <row r="1872" spans="1:10" ht="21" customHeight="1">
      <c r="A1872" s="507" t="s">
        <v>1267</v>
      </c>
      <c r="B1872" s="508" t="s">
        <v>662</v>
      </c>
      <c r="C1872" s="508" t="s">
        <v>411</v>
      </c>
      <c r="D1872" s="509">
        <f>$D$1829+$D$1830</f>
        <v>0</v>
      </c>
      <c r="E1872" s="509">
        <f>$E$1829+$E$1830</f>
        <v>0</v>
      </c>
      <c r="F1872" s="509">
        <f>$F$1829+$F$1830</f>
        <v>1.9613167200000003</v>
      </c>
      <c r="G1872" s="509">
        <f>$G$1829+$G$1830</f>
        <v>9.7174466400000021</v>
      </c>
      <c r="H1872" s="509">
        <f>$H$1829+$H$1830</f>
        <v>23.436887760000005</v>
      </c>
      <c r="I1872" s="509">
        <f>$I$1829+$I$1830</f>
        <v>29.841511920000002</v>
      </c>
      <c r="J1872" s="508" t="s">
        <v>14</v>
      </c>
    </row>
    <row r="1873" spans="1:10" ht="21" customHeight="1">
      <c r="A1873" s="507" t="s">
        <v>1267</v>
      </c>
      <c r="B1873" s="508" t="s">
        <v>663</v>
      </c>
      <c r="C1873" s="508" t="s">
        <v>411</v>
      </c>
      <c r="D1873" s="509">
        <f>$D$1839+$D$1840</f>
        <v>0</v>
      </c>
      <c r="E1873" s="509">
        <f>$E$1839+$E$1840</f>
        <v>0</v>
      </c>
      <c r="F1873" s="509">
        <f>$F$1839+$F$1840</f>
        <v>9.1379529000000005E-4</v>
      </c>
      <c r="G1873" s="509">
        <f>$G$1839+$G$1840</f>
        <v>4.5274467300000006E-3</v>
      </c>
      <c r="H1873" s="509">
        <f>$H$1839+$H$1840</f>
        <v>1.091945907E-2</v>
      </c>
      <c r="I1873" s="509">
        <f>$I$1839+$I$1840</f>
        <v>1.3903431689999999E-2</v>
      </c>
      <c r="J1873" s="508" t="s">
        <v>16</v>
      </c>
    </row>
    <row r="1874" spans="1:10" ht="21" customHeight="1">
      <c r="A1874" s="507" t="s">
        <v>1267</v>
      </c>
      <c r="B1874" s="508" t="s">
        <v>664</v>
      </c>
      <c r="C1874" s="508" t="s">
        <v>411</v>
      </c>
      <c r="D1874" s="509">
        <f>$D$1849+$D$1850</f>
        <v>0</v>
      </c>
      <c r="E1874" s="509">
        <f>$E$1849+$E$1850</f>
        <v>0</v>
      </c>
      <c r="F1874" s="509">
        <f>$F$1849+$F$1850</f>
        <v>7.3549377000000004E-3</v>
      </c>
      <c r="G1874" s="509">
        <f>$G$1849+$G$1850</f>
        <v>3.6440424900000004E-2</v>
      </c>
      <c r="H1874" s="509">
        <f>$H$1849+$H$1850</f>
        <v>8.7888329100000009E-2</v>
      </c>
      <c r="I1874" s="509">
        <f>$I$1849+$I$1850</f>
        <v>0.11190566970000002</v>
      </c>
      <c r="J1874" s="508" t="s">
        <v>760</v>
      </c>
    </row>
    <row r="1875" spans="1:10" ht="21" customHeight="1">
      <c r="A1875" s="507" t="s">
        <v>1267</v>
      </c>
      <c r="B1875" s="508" t="s">
        <v>665</v>
      </c>
      <c r="C1875" s="508" t="s">
        <v>411</v>
      </c>
      <c r="D1875" s="509">
        <f>$D$1859+$D$1860</f>
        <v>0</v>
      </c>
      <c r="E1875" s="509">
        <f>$E$1859+$E$1860</f>
        <v>0</v>
      </c>
      <c r="F1875" s="509">
        <f>$F$1859+$F$1860</f>
        <v>3.1202766000000006E-5</v>
      </c>
      <c r="G1875" s="509">
        <f>$G$1859+$G$1860</f>
        <v>1.5459574200000001E-4</v>
      </c>
      <c r="H1875" s="509">
        <f>$H$1859+$H$1860</f>
        <v>3.7285957800000004E-4</v>
      </c>
      <c r="I1875" s="509">
        <f>$I$1859+$I$1860</f>
        <v>4.7475132600000003E-4</v>
      </c>
      <c r="J1875" s="508" t="s">
        <v>1268</v>
      </c>
    </row>
    <row r="1876" spans="1:10" ht="21" customHeight="1">
      <c r="A1876" s="507" t="s">
        <v>1267</v>
      </c>
      <c r="B1876" s="508" t="s">
        <v>565</v>
      </c>
      <c r="C1876" s="508" t="s">
        <v>411</v>
      </c>
      <c r="D1876" s="509">
        <f>$D$1867+$D$1868</f>
        <v>0</v>
      </c>
      <c r="E1876" s="509">
        <f>$E$1867+$E$1868</f>
        <v>0</v>
      </c>
      <c r="F1876" s="509">
        <f>$F$1867+$F$1868</f>
        <v>364.65278190417609</v>
      </c>
      <c r="G1876" s="509">
        <f>$G$1867+$G$1868</f>
        <v>1806.6913488003047</v>
      </c>
      <c r="H1876" s="509">
        <f>$H$1867+$H$1868</f>
        <v>4357.4432592712183</v>
      </c>
      <c r="I1876" s="509">
        <f>$I$1867+$I$1868</f>
        <v>5548.2065833072757</v>
      </c>
      <c r="J1876" s="508" t="s">
        <v>671</v>
      </c>
    </row>
    <row r="1877" spans="1:10" ht="21" customHeight="1">
      <c r="A1877" s="510" t="s">
        <v>1269</v>
      </c>
      <c r="B1877" s="506"/>
      <c r="C1877" s="506"/>
      <c r="D1877" s="511"/>
      <c r="E1877" s="511"/>
      <c r="F1877" s="511"/>
      <c r="G1877" s="511"/>
      <c r="H1877" s="511"/>
      <c r="I1877" s="512"/>
      <c r="J1877" s="506"/>
    </row>
    <row r="1878" spans="1:10" ht="21" customHeight="1">
      <c r="A1878" s="507" t="s">
        <v>1269</v>
      </c>
      <c r="B1878" s="508" t="s">
        <v>407</v>
      </c>
      <c r="C1878" s="508" t="s">
        <v>397</v>
      </c>
      <c r="D1878" s="509">
        <v>1.01</v>
      </c>
      <c r="E1878" s="509">
        <v>1.01</v>
      </c>
      <c r="F1878" s="509">
        <v>1.01</v>
      </c>
      <c r="G1878" s="509">
        <v>1.01</v>
      </c>
      <c r="H1878" s="509">
        <v>1.01</v>
      </c>
      <c r="I1878" s="509">
        <f>'Cálculos Yabucoa'!B6</f>
        <v>1.01</v>
      </c>
      <c r="J1878" s="508" t="s">
        <v>35</v>
      </c>
    </row>
    <row r="1879" spans="1:10" ht="21" customHeight="1">
      <c r="A1879" s="507" t="s">
        <v>1269</v>
      </c>
      <c r="B1879" s="508" t="s">
        <v>418</v>
      </c>
      <c r="C1879" s="508" t="s">
        <v>397</v>
      </c>
      <c r="D1879" s="509">
        <v>1.01</v>
      </c>
      <c r="E1879" s="509">
        <v>1.01</v>
      </c>
      <c r="F1879" s="509">
        <v>1.01</v>
      </c>
      <c r="G1879" s="509">
        <v>1.01</v>
      </c>
      <c r="H1879" s="509">
        <v>1.01</v>
      </c>
      <c r="I1879" s="509">
        <f>'Cálculos Yabucoa'!L6</f>
        <v>1.01</v>
      </c>
      <c r="J1879" s="508" t="s">
        <v>35</v>
      </c>
    </row>
    <row r="1880" spans="1:10" ht="21" customHeight="1">
      <c r="A1880" s="507" t="s">
        <v>1269</v>
      </c>
      <c r="B1880" s="508" t="s">
        <v>469</v>
      </c>
      <c r="C1880" s="508" t="s">
        <v>411</v>
      </c>
      <c r="D1880" s="509">
        <f>$D$1336</f>
        <v>0</v>
      </c>
      <c r="E1880" s="509">
        <f>$E$1356</f>
        <v>0</v>
      </c>
      <c r="F1880" s="509">
        <f>$F$1376</f>
        <v>0</v>
      </c>
      <c r="G1880" s="509">
        <f>$G$1396</f>
        <v>0</v>
      </c>
      <c r="H1880" s="509">
        <f>$H$1416</f>
        <v>0</v>
      </c>
      <c r="I1880" s="509">
        <f>$I$1436</f>
        <v>0</v>
      </c>
      <c r="J1880" s="508" t="s">
        <v>318</v>
      </c>
    </row>
    <row r="1881" spans="1:10" ht="21" customHeight="1">
      <c r="A1881" s="507" t="s">
        <v>1269</v>
      </c>
      <c r="B1881" s="508" t="s">
        <v>1202</v>
      </c>
      <c r="C1881" s="508" t="s">
        <v>411</v>
      </c>
      <c r="D1881" s="509">
        <f>$D$1337</f>
        <v>119569</v>
      </c>
      <c r="E1881" s="509">
        <f>$E$1357</f>
        <v>0</v>
      </c>
      <c r="F1881" s="509">
        <f>$F$1377</f>
        <v>0</v>
      </c>
      <c r="G1881" s="509">
        <f>$G$1397</f>
        <v>0</v>
      </c>
      <c r="H1881" s="509">
        <f>$H$1417</f>
        <v>0</v>
      </c>
      <c r="I1881" s="509">
        <f>$I$1437</f>
        <v>0</v>
      </c>
      <c r="J1881" s="508" t="s">
        <v>318</v>
      </c>
    </row>
    <row r="1882" spans="1:10" ht="21" customHeight="1">
      <c r="A1882" s="507" t="s">
        <v>1269</v>
      </c>
      <c r="B1882" s="508" t="s">
        <v>474</v>
      </c>
      <c r="C1882" s="508" t="s">
        <v>411</v>
      </c>
      <c r="D1882" s="509">
        <f>$D$1510</f>
        <v>1.0000000000000002E-3</v>
      </c>
      <c r="E1882" s="509">
        <f>$E$1350</f>
        <v>0.01</v>
      </c>
      <c r="F1882" s="509">
        <f>$F$1370</f>
        <v>0.01</v>
      </c>
      <c r="G1882" s="509">
        <f>$G$1390</f>
        <v>0.01</v>
      </c>
      <c r="H1882" s="509">
        <f>$H$1410</f>
        <v>0.01</v>
      </c>
      <c r="I1882" s="509">
        <f>$I$1430</f>
        <v>0.01</v>
      </c>
      <c r="J1882" s="508" t="s">
        <v>57</v>
      </c>
    </row>
    <row r="1883" spans="1:10" ht="21" customHeight="1">
      <c r="A1883" s="507" t="s">
        <v>1269</v>
      </c>
      <c r="B1883" s="508" t="s">
        <v>1207</v>
      </c>
      <c r="C1883" s="508" t="s">
        <v>411</v>
      </c>
      <c r="D1883" s="509">
        <f>$D$1511</f>
        <v>1.0000000000000002E-3</v>
      </c>
      <c r="E1883" s="509">
        <f>$E$1351</f>
        <v>0.01</v>
      </c>
      <c r="F1883" s="509">
        <f>$F$1371</f>
        <v>0.01</v>
      </c>
      <c r="G1883" s="509">
        <f>$G$1391</f>
        <v>0.01</v>
      </c>
      <c r="H1883" s="509">
        <f>$H$1411</f>
        <v>0.01</v>
      </c>
      <c r="I1883" s="509">
        <f>$I$1431</f>
        <v>0.01</v>
      </c>
      <c r="J1883" s="508" t="s">
        <v>57</v>
      </c>
    </row>
    <row r="1884" spans="1:10" ht="21" customHeight="1">
      <c r="A1884" s="507" t="s">
        <v>1269</v>
      </c>
      <c r="B1884" s="508" t="s">
        <v>896</v>
      </c>
      <c r="C1884" s="508" t="s">
        <v>411</v>
      </c>
      <c r="D1884" s="509">
        <f>(73.96+0.003*25+0.0006*298)*2.2046*0.138</f>
        <v>22.578420600240001</v>
      </c>
      <c r="E1884" s="509">
        <f>(73.96+0.003*25+0.0006*298)*2.2046*0.138</f>
        <v>22.578420600240001</v>
      </c>
      <c r="F1884" s="509">
        <f>(73.96+0.003*25+0.0006*298)*2.2046*0.138</f>
        <v>22.578420600240001</v>
      </c>
      <c r="G1884" s="509">
        <f>(73.96+0.003*25+0.0006*298)*2.2046*0.138</f>
        <v>22.578420600240001</v>
      </c>
      <c r="H1884" s="509">
        <f>(73.96+0.003*25+0.0006*298)*2.2046*0.138</f>
        <v>22.578420600240001</v>
      </c>
      <c r="I1884" s="509">
        <f>(73.96+0.003*25+0.0006*298)*2.2046*0.138</f>
        <v>22.578420600240001</v>
      </c>
      <c r="J1884" s="508" t="s">
        <v>57</v>
      </c>
    </row>
    <row r="1885" spans="1:10" ht="21" customHeight="1">
      <c r="A1885" s="507" t="s">
        <v>1269</v>
      </c>
      <c r="B1885" s="508" t="s">
        <v>564</v>
      </c>
      <c r="C1885" s="508" t="s">
        <v>397</v>
      </c>
      <c r="D1885" s="509">
        <v>1.2E-2</v>
      </c>
      <c r="E1885" s="509">
        <v>1.2E-2</v>
      </c>
      <c r="F1885" s="509">
        <v>1.2E-2</v>
      </c>
      <c r="G1885" s="509">
        <v>1.2E-2</v>
      </c>
      <c r="H1885" s="509">
        <v>1.2E-2</v>
      </c>
      <c r="I1885" s="509">
        <f>'Cálculos Yabucoa'!B18</f>
        <v>1.2E-2</v>
      </c>
      <c r="J1885" s="508"/>
    </row>
    <row r="1886" spans="1:10" ht="21" customHeight="1">
      <c r="A1886" s="507" t="s">
        <v>1269</v>
      </c>
      <c r="B1886" s="508" t="s">
        <v>565</v>
      </c>
      <c r="C1886" s="508" t="s">
        <v>411</v>
      </c>
      <c r="D1886" s="509">
        <f>$D$1880</f>
        <v>0</v>
      </c>
      <c r="E1886" s="509">
        <f>$E$1880</f>
        <v>0</v>
      </c>
      <c r="F1886" s="509">
        <f>$F$1880</f>
        <v>0</v>
      </c>
      <c r="G1886" s="509">
        <f>$G$1880</f>
        <v>0</v>
      </c>
      <c r="H1886" s="509">
        <f>$H$1880</f>
        <v>0</v>
      </c>
      <c r="I1886" s="509">
        <f>$I$1880</f>
        <v>0</v>
      </c>
      <c r="J1886" s="508"/>
    </row>
    <row r="1887" spans="1:10" ht="21" customHeight="1">
      <c r="A1887" s="507" t="s">
        <v>1269</v>
      </c>
      <c r="B1887" s="508" t="s">
        <v>1270</v>
      </c>
      <c r="C1887" s="508" t="s">
        <v>397</v>
      </c>
      <c r="D1887" s="509">
        <v>0.13800000000000001</v>
      </c>
      <c r="E1887" s="509">
        <v>0.13800000000000001</v>
      </c>
      <c r="F1887" s="509">
        <v>0.13800000000000001</v>
      </c>
      <c r="G1887" s="509">
        <v>0.13800000000000001</v>
      </c>
      <c r="H1887" s="509">
        <v>0.13800000000000001</v>
      </c>
      <c r="I1887" s="509">
        <f>'Cálculos Yabucoa'!F18</f>
        <v>0.13800000000000001</v>
      </c>
      <c r="J1887" s="508"/>
    </row>
    <row r="1888" spans="1:10" ht="21" customHeight="1">
      <c r="A1888" s="507" t="s">
        <v>1269</v>
      </c>
      <c r="B1888" s="508" t="s">
        <v>898</v>
      </c>
      <c r="C1888" s="508" t="s">
        <v>397</v>
      </c>
      <c r="D1888" s="509">
        <v>1.2E-2</v>
      </c>
      <c r="E1888" s="509">
        <v>1.2E-2</v>
      </c>
      <c r="F1888" s="509">
        <v>1.2E-2</v>
      </c>
      <c r="G1888" s="509">
        <v>1.2E-2</v>
      </c>
      <c r="H1888" s="509">
        <v>1.2E-2</v>
      </c>
      <c r="I1888" s="509">
        <f>'Cálculos Yabucoa'!L18</f>
        <v>1.2E-2</v>
      </c>
      <c r="J1888" s="508"/>
    </row>
    <row r="1889" spans="1:10" ht="21" customHeight="1">
      <c r="A1889" s="507" t="s">
        <v>1269</v>
      </c>
      <c r="B1889" s="508" t="s">
        <v>899</v>
      </c>
      <c r="C1889" s="508" t="s">
        <v>411</v>
      </c>
      <c r="D1889" s="509">
        <f>$D$1881</f>
        <v>119569</v>
      </c>
      <c r="E1889" s="509">
        <f>$E$1881</f>
        <v>0</v>
      </c>
      <c r="F1889" s="509">
        <f>$F$1881</f>
        <v>0</v>
      </c>
      <c r="G1889" s="509">
        <f>$G$1881</f>
        <v>0</v>
      </c>
      <c r="H1889" s="509">
        <f>$H$1881</f>
        <v>0</v>
      </c>
      <c r="I1889" s="509">
        <f>$I$1881</f>
        <v>0</v>
      </c>
      <c r="J1889" s="508"/>
    </row>
    <row r="1890" spans="1:10" ht="21" customHeight="1">
      <c r="A1890" s="507" t="s">
        <v>1269</v>
      </c>
      <c r="B1890" s="508" t="s">
        <v>1271</v>
      </c>
      <c r="C1890" s="508" t="s">
        <v>397</v>
      </c>
      <c r="D1890" s="509">
        <v>0.13800000000000001</v>
      </c>
      <c r="E1890" s="509">
        <v>0.13800000000000001</v>
      </c>
      <c r="F1890" s="509">
        <v>0.13800000000000001</v>
      </c>
      <c r="G1890" s="509">
        <v>0.13800000000000001</v>
      </c>
      <c r="H1890" s="509">
        <v>0.13800000000000001</v>
      </c>
      <c r="I1890" s="509">
        <f>'Cálculos Yabucoa'!P18</f>
        <v>0.13800000000000001</v>
      </c>
      <c r="J1890" s="508"/>
    </row>
    <row r="1891" spans="1:10" ht="21" customHeight="1">
      <c r="A1891" s="507" t="s">
        <v>1269</v>
      </c>
      <c r="B1891" s="508" t="s">
        <v>1272</v>
      </c>
      <c r="C1891" s="508" t="s">
        <v>397</v>
      </c>
      <c r="D1891" s="509">
        <v>2000</v>
      </c>
      <c r="E1891" s="509">
        <v>2000</v>
      </c>
      <c r="F1891" s="509">
        <v>2000</v>
      </c>
      <c r="G1891" s="509">
        <v>2000</v>
      </c>
      <c r="H1891" s="509">
        <v>2000</v>
      </c>
      <c r="I1891" s="509">
        <f>'Cálculos Yabucoa'!H19</f>
        <v>2000</v>
      </c>
      <c r="J1891" s="508"/>
    </row>
    <row r="1892" spans="1:10" ht="21" customHeight="1">
      <c r="A1892" s="507" t="s">
        <v>1269</v>
      </c>
      <c r="B1892" s="508" t="s">
        <v>1273</v>
      </c>
      <c r="C1892" s="508" t="s">
        <v>397</v>
      </c>
      <c r="D1892" s="509">
        <v>2000</v>
      </c>
      <c r="E1892" s="509">
        <v>2000</v>
      </c>
      <c r="F1892" s="509">
        <v>2000</v>
      </c>
      <c r="G1892" s="509">
        <v>2000</v>
      </c>
      <c r="H1892" s="509">
        <v>2000</v>
      </c>
      <c r="I1892" s="509">
        <f>'Cálculos Yabucoa'!R19</f>
        <v>2000</v>
      </c>
      <c r="J1892" s="508"/>
    </row>
    <row r="1893" spans="1:10" ht="21" customHeight="1">
      <c r="A1893" s="507" t="s">
        <v>1269</v>
      </c>
      <c r="B1893" s="508" t="s">
        <v>1131</v>
      </c>
      <c r="C1893" s="508" t="s">
        <v>411</v>
      </c>
      <c r="D1893" s="509">
        <f>($D$1885*$D$1886*$D$1887)/$D$1891</f>
        <v>0</v>
      </c>
      <c r="E1893" s="509">
        <f>($E$1885*$E$1886*$E$1887)/$E$1891</f>
        <v>0</v>
      </c>
      <c r="F1893" s="509">
        <f>($F$1885*$F$1886*$F$1887)/$F$1891</f>
        <v>0</v>
      </c>
      <c r="G1893" s="509">
        <f>($G$1885*$G$1886*$G$1887)/$G$1891</f>
        <v>0</v>
      </c>
      <c r="H1893" s="509">
        <f>($H$1885*$H$1886*$H$1887)/$H$1891</f>
        <v>0</v>
      </c>
      <c r="I1893" s="509">
        <f>($I$1885*$I$1886*$I$1887)/$I$1891</f>
        <v>0</v>
      </c>
      <c r="J1893" s="508"/>
    </row>
    <row r="1894" spans="1:10" ht="21" customHeight="1">
      <c r="A1894" s="507" t="s">
        <v>1269</v>
      </c>
      <c r="B1894" s="508" t="s">
        <v>1274</v>
      </c>
      <c r="C1894" s="508" t="s">
        <v>411</v>
      </c>
      <c r="D1894" s="509">
        <f>($D$1888*$D$1889*$D$1890)/$D$1892</f>
        <v>9.9003132000000008E-2</v>
      </c>
      <c r="E1894" s="509">
        <f>($E$1888*$E$1889*$E$1890)/$E$1892</f>
        <v>0</v>
      </c>
      <c r="F1894" s="509">
        <f>($F$1888*$F$1889*$F$1890)/$F$1892</f>
        <v>0</v>
      </c>
      <c r="G1894" s="509">
        <f>($G$1888*$G$1889*$G$1890)/$G$1892</f>
        <v>0</v>
      </c>
      <c r="H1894" s="509">
        <f>($H$1888*$H$1889*$H$1890)/$H$1892</f>
        <v>0</v>
      </c>
      <c r="I1894" s="509">
        <f>($I$1888*$I$1889*$I$1890)/$I$1892</f>
        <v>0</v>
      </c>
      <c r="J1894" s="508"/>
    </row>
    <row r="1895" spans="1:10" ht="21" customHeight="1">
      <c r="A1895" s="507" t="s">
        <v>1269</v>
      </c>
      <c r="B1895" s="508" t="s">
        <v>501</v>
      </c>
      <c r="C1895" s="508" t="s">
        <v>411</v>
      </c>
      <c r="D1895" s="509">
        <f>($D$1878*$D$1882)</f>
        <v>1.0100000000000003E-3</v>
      </c>
      <c r="E1895" s="509">
        <f>($E$1878*$E$1882)</f>
        <v>1.01E-2</v>
      </c>
      <c r="F1895" s="509">
        <f>($F$1878*$F$1882)</f>
        <v>1.01E-2</v>
      </c>
      <c r="G1895" s="509">
        <f>($G$1878*$G$1882)</f>
        <v>1.01E-2</v>
      </c>
      <c r="H1895" s="509">
        <f>($H$1878*$H$1882)</f>
        <v>1.01E-2</v>
      </c>
      <c r="I1895" s="509">
        <f>($I$1878*$I$1882)</f>
        <v>1.01E-2</v>
      </c>
      <c r="J1895" s="508"/>
    </row>
    <row r="1896" spans="1:10" ht="21" customHeight="1">
      <c r="A1896" s="507" t="s">
        <v>1269</v>
      </c>
      <c r="B1896" s="508" t="s">
        <v>503</v>
      </c>
      <c r="C1896" s="508" t="s">
        <v>411</v>
      </c>
      <c r="D1896" s="509">
        <f>$D$1880</f>
        <v>0</v>
      </c>
      <c r="E1896" s="509">
        <f>$E$1880</f>
        <v>0</v>
      </c>
      <c r="F1896" s="509">
        <f>$F$1880</f>
        <v>0</v>
      </c>
      <c r="G1896" s="509">
        <f>$G$1880</f>
        <v>0</v>
      </c>
      <c r="H1896" s="509">
        <f>$H$1880</f>
        <v>0</v>
      </c>
      <c r="I1896" s="509">
        <f>$I$1880</f>
        <v>0</v>
      </c>
      <c r="J1896" s="508"/>
    </row>
    <row r="1897" spans="1:10" ht="21" customHeight="1">
      <c r="A1897" s="507" t="s">
        <v>1269</v>
      </c>
      <c r="B1897" s="508" t="s">
        <v>705</v>
      </c>
      <c r="C1897" s="508" t="s">
        <v>397</v>
      </c>
      <c r="D1897" s="509">
        <v>0.13800000000000001</v>
      </c>
      <c r="E1897" s="509">
        <v>0.13800000000000001</v>
      </c>
      <c r="F1897" s="509">
        <v>0.13800000000000001</v>
      </c>
      <c r="G1897" s="509">
        <v>0.13800000000000001</v>
      </c>
      <c r="H1897" s="509">
        <v>0.13800000000000001</v>
      </c>
      <c r="I1897" s="509">
        <f>'Cálculos Yabucoa'!F26</f>
        <v>0.13800000000000001</v>
      </c>
      <c r="J1897" s="508"/>
    </row>
    <row r="1898" spans="1:10" ht="21" customHeight="1">
      <c r="A1898" s="507" t="s">
        <v>1269</v>
      </c>
      <c r="B1898" s="508" t="s">
        <v>792</v>
      </c>
      <c r="C1898" s="508" t="s">
        <v>411</v>
      </c>
      <c r="D1898" s="509">
        <f>$D$1879*$D$1883</f>
        <v>1.0100000000000003E-3</v>
      </c>
      <c r="E1898" s="509">
        <f>$E$1879*$E$1883</f>
        <v>1.01E-2</v>
      </c>
      <c r="F1898" s="509">
        <f>$F$1879*$F$1883</f>
        <v>1.01E-2</v>
      </c>
      <c r="G1898" s="509">
        <f>$G$1879*$G$1883</f>
        <v>1.01E-2</v>
      </c>
      <c r="H1898" s="509">
        <f>$H$1879*$H$1883</f>
        <v>1.01E-2</v>
      </c>
      <c r="I1898" s="509">
        <f>$I$1879*$I$1883</f>
        <v>1.01E-2</v>
      </c>
      <c r="J1898" s="508"/>
    </row>
    <row r="1899" spans="1:10" ht="21" customHeight="1">
      <c r="A1899" s="507" t="s">
        <v>1269</v>
      </c>
      <c r="B1899" s="508" t="s">
        <v>707</v>
      </c>
      <c r="C1899" s="508" t="s">
        <v>411</v>
      </c>
      <c r="D1899" s="509">
        <f>$D$1881</f>
        <v>119569</v>
      </c>
      <c r="E1899" s="509">
        <f>$E$1881</f>
        <v>0</v>
      </c>
      <c r="F1899" s="509">
        <f>$F$1881</f>
        <v>0</v>
      </c>
      <c r="G1899" s="509">
        <f>$G$1881</f>
        <v>0</v>
      </c>
      <c r="H1899" s="509">
        <f>$H$1881</f>
        <v>0</v>
      </c>
      <c r="I1899" s="509">
        <f>$I$1881</f>
        <v>0</v>
      </c>
      <c r="J1899" s="508"/>
    </row>
    <row r="1900" spans="1:10" ht="21" customHeight="1">
      <c r="A1900" s="507" t="s">
        <v>1269</v>
      </c>
      <c r="B1900" s="508" t="s">
        <v>793</v>
      </c>
      <c r="C1900" s="508" t="s">
        <v>397</v>
      </c>
      <c r="D1900" s="509">
        <v>0.13800000000000001</v>
      </c>
      <c r="E1900" s="509">
        <v>0.13800000000000001</v>
      </c>
      <c r="F1900" s="509">
        <v>0.13800000000000001</v>
      </c>
      <c r="G1900" s="509">
        <v>0.13800000000000001</v>
      </c>
      <c r="H1900" s="509">
        <v>0.13800000000000001</v>
      </c>
      <c r="I1900" s="509">
        <f>'Cálculos Yabucoa'!P26</f>
        <v>0.13800000000000001</v>
      </c>
      <c r="J1900" s="508"/>
    </row>
    <row r="1901" spans="1:10" ht="21" customHeight="1">
      <c r="A1901" s="507" t="s">
        <v>1269</v>
      </c>
      <c r="B1901" s="508" t="s">
        <v>795</v>
      </c>
      <c r="C1901" s="508" t="s">
        <v>397</v>
      </c>
      <c r="D1901" s="509">
        <v>2000</v>
      </c>
      <c r="E1901" s="509">
        <v>2000</v>
      </c>
      <c r="F1901" s="509">
        <v>2000</v>
      </c>
      <c r="G1901" s="509">
        <v>2000</v>
      </c>
      <c r="H1901" s="509">
        <v>2000</v>
      </c>
      <c r="I1901" s="509">
        <f>'Cálculos Yabucoa'!H27</f>
        <v>2000</v>
      </c>
      <c r="J1901" s="508"/>
    </row>
    <row r="1902" spans="1:10" ht="21" customHeight="1">
      <c r="A1902" s="507" t="s">
        <v>1269</v>
      </c>
      <c r="B1902" s="508" t="s">
        <v>803</v>
      </c>
      <c r="C1902" s="508" t="s">
        <v>397</v>
      </c>
      <c r="D1902" s="509">
        <v>2000</v>
      </c>
      <c r="E1902" s="509">
        <v>2000</v>
      </c>
      <c r="F1902" s="509">
        <v>2000</v>
      </c>
      <c r="G1902" s="509">
        <v>2000</v>
      </c>
      <c r="H1902" s="509">
        <v>2000</v>
      </c>
      <c r="I1902" s="509">
        <f>'Cálculos Yabucoa'!R27</f>
        <v>2000</v>
      </c>
      <c r="J1902" s="508"/>
    </row>
    <row r="1903" spans="1:10" ht="21" customHeight="1">
      <c r="A1903" s="507" t="s">
        <v>1269</v>
      </c>
      <c r="B1903" s="508" t="s">
        <v>513</v>
      </c>
      <c r="C1903" s="508" t="s">
        <v>411</v>
      </c>
      <c r="D1903" s="509">
        <f>($D$1895*$D$1896*$D$1897)/$D$1901</f>
        <v>0</v>
      </c>
      <c r="E1903" s="509">
        <f>($E$1895*$E$1896*$E$1897)/$E$1901</f>
        <v>0</v>
      </c>
      <c r="F1903" s="509">
        <f>($F$1895*$F$1896*$F$1897)/$F$1901</f>
        <v>0</v>
      </c>
      <c r="G1903" s="509">
        <f>($G$1895*$G$1896*$G$1897)/$G$1901</f>
        <v>0</v>
      </c>
      <c r="H1903" s="509">
        <f>($H$1895*$H$1896*$H$1897)/$H$1901</f>
        <v>0</v>
      </c>
      <c r="I1903" s="509">
        <f>($I$1895*$I$1896*$I$1897)/$I$1901</f>
        <v>0</v>
      </c>
      <c r="J1903" s="508"/>
    </row>
    <row r="1904" spans="1:10" ht="21" customHeight="1">
      <c r="A1904" s="507" t="s">
        <v>1269</v>
      </c>
      <c r="B1904" s="508" t="s">
        <v>1275</v>
      </c>
      <c r="C1904" s="508" t="s">
        <v>411</v>
      </c>
      <c r="D1904" s="509">
        <f>($D$1898*$D$1899*$D$1900)/$D$1902</f>
        <v>8.3327636100000019E-3</v>
      </c>
      <c r="E1904" s="509">
        <f>($E$1898*$E$1899*$E$1900)/$E$1902</f>
        <v>0</v>
      </c>
      <c r="F1904" s="509">
        <f>($F$1898*$F$1899*$F$1900)/$F$1902</f>
        <v>0</v>
      </c>
      <c r="G1904" s="509">
        <f>($G$1898*$G$1899*$G$1900)/$G$1902</f>
        <v>0</v>
      </c>
      <c r="H1904" s="509">
        <f>($H$1898*$H$1899*$H$1900)/$H$1902</f>
        <v>0</v>
      </c>
      <c r="I1904" s="509">
        <f>($I$1898*$I$1899*$I$1900)/$I$1902</f>
        <v>0</v>
      </c>
      <c r="J1904" s="508"/>
    </row>
    <row r="1905" spans="1:10" ht="21" customHeight="1">
      <c r="A1905" s="507" t="s">
        <v>1269</v>
      </c>
      <c r="B1905" s="508" t="s">
        <v>615</v>
      </c>
      <c r="C1905" s="508" t="s">
        <v>397</v>
      </c>
      <c r="D1905" s="509">
        <v>0.88</v>
      </c>
      <c r="E1905" s="509">
        <v>0.88</v>
      </c>
      <c r="F1905" s="509">
        <v>0.88</v>
      </c>
      <c r="G1905" s="509">
        <v>0.88</v>
      </c>
      <c r="H1905" s="509">
        <v>0.88</v>
      </c>
      <c r="I1905" s="509">
        <f>'Cálculos Yabucoa'!B35</f>
        <v>0.88</v>
      </c>
      <c r="J1905" s="508"/>
    </row>
    <row r="1906" spans="1:10" ht="21" customHeight="1">
      <c r="A1906" s="507" t="s">
        <v>1269</v>
      </c>
      <c r="B1906" s="508" t="s">
        <v>1276</v>
      </c>
      <c r="C1906" s="508" t="s">
        <v>411</v>
      </c>
      <c r="D1906" s="509">
        <f>$D$1880</f>
        <v>0</v>
      </c>
      <c r="E1906" s="509">
        <f>$E$1880</f>
        <v>0</v>
      </c>
      <c r="F1906" s="509">
        <f>$F$1880</f>
        <v>0</v>
      </c>
      <c r="G1906" s="509">
        <f>$G$1880</f>
        <v>0</v>
      </c>
      <c r="H1906" s="509">
        <f>$H$1880</f>
        <v>0</v>
      </c>
      <c r="I1906" s="509">
        <f>$I$1880</f>
        <v>0</v>
      </c>
      <c r="J1906" s="508"/>
    </row>
    <row r="1907" spans="1:10" ht="21" customHeight="1">
      <c r="A1907" s="507" t="s">
        <v>1269</v>
      </c>
      <c r="B1907" s="508" t="s">
        <v>1277</v>
      </c>
      <c r="C1907" s="508" t="s">
        <v>397</v>
      </c>
      <c r="D1907" s="509">
        <v>0.13800000000000001</v>
      </c>
      <c r="E1907" s="509">
        <v>0.13800000000000001</v>
      </c>
      <c r="F1907" s="509">
        <v>0.13800000000000001</v>
      </c>
      <c r="G1907" s="509">
        <v>0.13800000000000001</v>
      </c>
      <c r="H1907" s="509">
        <v>0.13800000000000001</v>
      </c>
      <c r="I1907" s="509">
        <f>'Cálculos Yabucoa'!F35</f>
        <v>0.13800000000000001</v>
      </c>
      <c r="J1907" s="508"/>
    </row>
    <row r="1908" spans="1:10" ht="21" customHeight="1">
      <c r="A1908" s="507" t="s">
        <v>1269</v>
      </c>
      <c r="B1908" s="508" t="s">
        <v>1278</v>
      </c>
      <c r="C1908" s="508" t="s">
        <v>397</v>
      </c>
      <c r="D1908" s="509">
        <v>0.88</v>
      </c>
      <c r="E1908" s="509">
        <v>0.88</v>
      </c>
      <c r="F1908" s="509">
        <v>0.88</v>
      </c>
      <c r="G1908" s="509">
        <v>0.88</v>
      </c>
      <c r="H1908" s="509">
        <v>0.88</v>
      </c>
      <c r="I1908" s="509">
        <f>'Cálculos Yabucoa'!L35</f>
        <v>0.88</v>
      </c>
      <c r="J1908" s="508"/>
    </row>
    <row r="1909" spans="1:10" ht="21" customHeight="1">
      <c r="A1909" s="507" t="s">
        <v>1269</v>
      </c>
      <c r="B1909" s="508" t="s">
        <v>1279</v>
      </c>
      <c r="C1909" s="508" t="s">
        <v>411</v>
      </c>
      <c r="D1909" s="509">
        <f>$D$1881</f>
        <v>119569</v>
      </c>
      <c r="E1909" s="509">
        <f>$E$1881</f>
        <v>0</v>
      </c>
      <c r="F1909" s="509">
        <f>$F$1881</f>
        <v>0</v>
      </c>
      <c r="G1909" s="509">
        <f>$G$1881</f>
        <v>0</v>
      </c>
      <c r="H1909" s="509">
        <f>$H$1881</f>
        <v>0</v>
      </c>
      <c r="I1909" s="509">
        <f>$I$1881</f>
        <v>0</v>
      </c>
      <c r="J1909" s="508"/>
    </row>
    <row r="1910" spans="1:10" ht="21" customHeight="1">
      <c r="A1910" s="507" t="s">
        <v>1269</v>
      </c>
      <c r="B1910" s="508" t="s">
        <v>1280</v>
      </c>
      <c r="C1910" s="508" t="s">
        <v>397</v>
      </c>
      <c r="D1910" s="509">
        <v>0.13800000000000001</v>
      </c>
      <c r="E1910" s="509">
        <v>0.13800000000000001</v>
      </c>
      <c r="F1910" s="509">
        <v>0.13800000000000001</v>
      </c>
      <c r="G1910" s="509">
        <v>0.13800000000000001</v>
      </c>
      <c r="H1910" s="509">
        <v>0.13800000000000001</v>
      </c>
      <c r="I1910" s="509">
        <f>'Cálculos Yabucoa'!P35</f>
        <v>0.13800000000000001</v>
      </c>
      <c r="J1910" s="508"/>
    </row>
    <row r="1911" spans="1:10" ht="21" customHeight="1">
      <c r="A1911" s="507" t="s">
        <v>1269</v>
      </c>
      <c r="B1911" s="508" t="s">
        <v>1281</v>
      </c>
      <c r="C1911" s="508" t="s">
        <v>397</v>
      </c>
      <c r="D1911" s="509">
        <v>2000</v>
      </c>
      <c r="E1911" s="509">
        <v>2000</v>
      </c>
      <c r="F1911" s="509">
        <v>2000</v>
      </c>
      <c r="G1911" s="509">
        <v>2000</v>
      </c>
      <c r="H1911" s="509">
        <v>2000</v>
      </c>
      <c r="I1911" s="509">
        <f>'Cálculos Yabucoa'!H36</f>
        <v>2000</v>
      </c>
      <c r="J1911" s="508"/>
    </row>
    <row r="1912" spans="1:10" ht="21" customHeight="1">
      <c r="A1912" s="507" t="s">
        <v>1269</v>
      </c>
      <c r="B1912" s="508" t="s">
        <v>1282</v>
      </c>
      <c r="C1912" s="508" t="s">
        <v>397</v>
      </c>
      <c r="D1912" s="509">
        <v>2000</v>
      </c>
      <c r="E1912" s="509">
        <v>2000</v>
      </c>
      <c r="F1912" s="509">
        <v>2000</v>
      </c>
      <c r="G1912" s="509">
        <v>2000</v>
      </c>
      <c r="H1912" s="509">
        <v>2000</v>
      </c>
      <c r="I1912" s="509">
        <f>'Cálculos Yabucoa'!R36</f>
        <v>2000</v>
      </c>
      <c r="J1912" s="508"/>
    </row>
    <row r="1913" spans="1:10" ht="21" customHeight="1">
      <c r="A1913" s="507" t="s">
        <v>1269</v>
      </c>
      <c r="B1913" s="508" t="s">
        <v>616</v>
      </c>
      <c r="C1913" s="508" t="s">
        <v>411</v>
      </c>
      <c r="D1913" s="509">
        <f>($D$1905*$D$1906*$D$1907)/$D$1911</f>
        <v>0</v>
      </c>
      <c r="E1913" s="509">
        <f>($E$1905*$E$1906*$E$1907)/$E$1911</f>
        <v>0</v>
      </c>
      <c r="F1913" s="509">
        <f>($F$1905*$F$1906*$F$1907)/$F$1911</f>
        <v>0</v>
      </c>
      <c r="G1913" s="509">
        <f>($G$1905*$G$1906*$G$1907)/$G$1911</f>
        <v>0</v>
      </c>
      <c r="H1913" s="509">
        <f>($H$1905*$H$1906*$H$1907)/$H$1911</f>
        <v>0</v>
      </c>
      <c r="I1913" s="509">
        <f>($I$1905*$I$1906*$I$1907)/$I$1911</f>
        <v>0</v>
      </c>
      <c r="J1913" s="508"/>
    </row>
    <row r="1914" spans="1:10" ht="21" customHeight="1">
      <c r="A1914" s="507" t="s">
        <v>1269</v>
      </c>
      <c r="B1914" s="508" t="s">
        <v>905</v>
      </c>
      <c r="C1914" s="508" t="s">
        <v>411</v>
      </c>
      <c r="D1914" s="509">
        <f>($D$1908*$D$1909*$D$1910)/$D$1912</f>
        <v>7.2602296800000001</v>
      </c>
      <c r="E1914" s="509">
        <f>($E$1908*$E$1909*$E$1910)/$E$1912</f>
        <v>0</v>
      </c>
      <c r="F1914" s="509">
        <f>($F$1908*$F$1909*$F$1910)/$F$1912</f>
        <v>0</v>
      </c>
      <c r="G1914" s="509">
        <f>($G$1908*$G$1909*$G$1910)/$G$1912</f>
        <v>0</v>
      </c>
      <c r="H1914" s="509">
        <f>($H$1908*$H$1909*$H$1910)/$H$1912</f>
        <v>0</v>
      </c>
      <c r="I1914" s="509">
        <f>($I$1908*$I$1909*$I$1910)/$I$1912</f>
        <v>0</v>
      </c>
      <c r="J1914" s="508"/>
    </row>
    <row r="1915" spans="1:10" ht="21" customHeight="1">
      <c r="A1915" s="507" t="s">
        <v>1269</v>
      </c>
      <c r="B1915" s="508" t="s">
        <v>519</v>
      </c>
      <c r="C1915" s="508" t="s">
        <v>397</v>
      </c>
      <c r="D1915" s="509">
        <v>4.0999999999999999E-4</v>
      </c>
      <c r="E1915" s="509">
        <v>4.0999999999999999E-4</v>
      </c>
      <c r="F1915" s="509">
        <v>4.0999999999999999E-4</v>
      </c>
      <c r="G1915" s="509">
        <v>4.0999999999999999E-4</v>
      </c>
      <c r="H1915" s="509">
        <v>4.0999999999999999E-4</v>
      </c>
      <c r="I1915" s="509">
        <f>'Cálculos Yabucoa'!B43</f>
        <v>4.0999999999999999E-4</v>
      </c>
      <c r="J1915" s="508"/>
    </row>
    <row r="1916" spans="1:10" ht="21" customHeight="1">
      <c r="A1916" s="507" t="s">
        <v>1269</v>
      </c>
      <c r="B1916" s="508" t="s">
        <v>817</v>
      </c>
      <c r="C1916" s="508" t="s">
        <v>411</v>
      </c>
      <c r="D1916" s="509">
        <f>$D$1880</f>
        <v>0</v>
      </c>
      <c r="E1916" s="509">
        <f>$E$1880</f>
        <v>0</v>
      </c>
      <c r="F1916" s="509">
        <f>$F$1880</f>
        <v>0</v>
      </c>
      <c r="G1916" s="509">
        <f>$G$1880</f>
        <v>0</v>
      </c>
      <c r="H1916" s="509">
        <f>$H$1880</f>
        <v>0</v>
      </c>
      <c r="I1916" s="509">
        <f>$I$1880</f>
        <v>0</v>
      </c>
      <c r="J1916" s="508"/>
    </row>
    <row r="1917" spans="1:10" ht="21" customHeight="1">
      <c r="A1917" s="507" t="s">
        <v>1269</v>
      </c>
      <c r="B1917" s="508" t="s">
        <v>874</v>
      </c>
      <c r="C1917" s="508" t="s">
        <v>397</v>
      </c>
      <c r="D1917" s="509">
        <v>0.13800000000000001</v>
      </c>
      <c r="E1917" s="509">
        <v>0.13800000000000001</v>
      </c>
      <c r="F1917" s="509">
        <v>0.13800000000000001</v>
      </c>
      <c r="G1917" s="509">
        <v>0.13800000000000001</v>
      </c>
      <c r="H1917" s="509">
        <v>0.13800000000000001</v>
      </c>
      <c r="I1917" s="509">
        <f>'Cálculos Yabucoa'!F43</f>
        <v>0.13800000000000001</v>
      </c>
      <c r="J1917" s="508"/>
    </row>
    <row r="1918" spans="1:10" ht="21" customHeight="1">
      <c r="A1918" s="507" t="s">
        <v>1269</v>
      </c>
      <c r="B1918" s="508" t="s">
        <v>1283</v>
      </c>
      <c r="C1918" s="508" t="s">
        <v>397</v>
      </c>
      <c r="D1918" s="509">
        <v>4.0999999999999999E-4</v>
      </c>
      <c r="E1918" s="509">
        <v>4.0999999999999999E-4</v>
      </c>
      <c r="F1918" s="509">
        <v>4.0999999999999999E-4</v>
      </c>
      <c r="G1918" s="509">
        <v>4.0999999999999999E-4</v>
      </c>
      <c r="H1918" s="509">
        <v>4.0999999999999999E-4</v>
      </c>
      <c r="I1918" s="509">
        <f>'Cálculos Yabucoa'!L43</f>
        <v>4.0999999999999999E-4</v>
      </c>
      <c r="J1918" s="508"/>
    </row>
    <row r="1919" spans="1:10" ht="21" customHeight="1">
      <c r="A1919" s="507" t="s">
        <v>1269</v>
      </c>
      <c r="B1919" s="508" t="s">
        <v>1284</v>
      </c>
      <c r="C1919" s="508" t="s">
        <v>411</v>
      </c>
      <c r="D1919" s="509">
        <f>$D$1881</f>
        <v>119569</v>
      </c>
      <c r="E1919" s="509">
        <f>$E$1881</f>
        <v>0</v>
      </c>
      <c r="F1919" s="509">
        <f>$F$1881</f>
        <v>0</v>
      </c>
      <c r="G1919" s="509">
        <f>$G$1881</f>
        <v>0</v>
      </c>
      <c r="H1919" s="509">
        <f>$H$1881</f>
        <v>0</v>
      </c>
      <c r="I1919" s="509">
        <f>$I$1881</f>
        <v>0</v>
      </c>
      <c r="J1919" s="508"/>
    </row>
    <row r="1920" spans="1:10" ht="21" customHeight="1">
      <c r="A1920" s="507" t="s">
        <v>1269</v>
      </c>
      <c r="B1920" s="508" t="s">
        <v>1285</v>
      </c>
      <c r="C1920" s="508" t="s">
        <v>397</v>
      </c>
      <c r="D1920" s="509">
        <v>0.13800000000000001</v>
      </c>
      <c r="E1920" s="509">
        <v>0.13800000000000001</v>
      </c>
      <c r="F1920" s="509">
        <v>0.13800000000000001</v>
      </c>
      <c r="G1920" s="509">
        <v>0.13800000000000001</v>
      </c>
      <c r="H1920" s="509">
        <v>0.13800000000000001</v>
      </c>
      <c r="I1920" s="509">
        <f>'Cálculos Yabucoa'!P43</f>
        <v>0.13800000000000001</v>
      </c>
      <c r="J1920" s="508"/>
    </row>
    <row r="1921" spans="1:10" ht="21" customHeight="1">
      <c r="A1921" s="507" t="s">
        <v>1269</v>
      </c>
      <c r="B1921" s="508" t="s">
        <v>624</v>
      </c>
      <c r="C1921" s="508" t="s">
        <v>397</v>
      </c>
      <c r="D1921" s="509">
        <v>2000</v>
      </c>
      <c r="E1921" s="509">
        <v>2000</v>
      </c>
      <c r="F1921" s="509">
        <v>2000</v>
      </c>
      <c r="G1921" s="509">
        <v>2000</v>
      </c>
      <c r="H1921" s="509">
        <v>2000</v>
      </c>
      <c r="I1921" s="509">
        <f>'Cálculos Yabucoa'!H44</f>
        <v>2000</v>
      </c>
      <c r="J1921" s="508"/>
    </row>
    <row r="1922" spans="1:10" ht="21" customHeight="1">
      <c r="A1922" s="507" t="s">
        <v>1269</v>
      </c>
      <c r="B1922" s="508" t="s">
        <v>627</v>
      </c>
      <c r="C1922" s="508" t="s">
        <v>397</v>
      </c>
      <c r="D1922" s="509">
        <v>2000</v>
      </c>
      <c r="E1922" s="509">
        <v>2000</v>
      </c>
      <c r="F1922" s="509">
        <v>2000</v>
      </c>
      <c r="G1922" s="509">
        <v>2000</v>
      </c>
      <c r="H1922" s="509">
        <v>2000</v>
      </c>
      <c r="I1922" s="509">
        <f>'Cálculos Yabucoa'!R44</f>
        <v>2000</v>
      </c>
      <c r="J1922" s="508"/>
    </row>
    <row r="1923" spans="1:10" ht="21" customHeight="1">
      <c r="A1923" s="507" t="s">
        <v>1269</v>
      </c>
      <c r="B1923" s="508" t="s">
        <v>525</v>
      </c>
      <c r="C1923" s="508" t="s">
        <v>411</v>
      </c>
      <c r="D1923" s="509">
        <f>($D$1915*$D$1916*$D$1917)/$D$1921</f>
        <v>0</v>
      </c>
      <c r="E1923" s="509">
        <f>($E$1915*$E$1916*$E$1917)/$E$1921</f>
        <v>0</v>
      </c>
      <c r="F1923" s="509">
        <f>($F$1915*$F$1916*$F$1917)/$F$1921</f>
        <v>0</v>
      </c>
      <c r="G1923" s="509">
        <f>($G$1915*$G$1916*$G$1917)/$G$1921</f>
        <v>0</v>
      </c>
      <c r="H1923" s="509">
        <f>($H$1915*$H$1916*$H$1917)/$H$1921</f>
        <v>0</v>
      </c>
      <c r="I1923" s="509">
        <f>($I$1915*$I$1916*$I$1917)/$I$1921</f>
        <v>0</v>
      </c>
      <c r="J1923" s="508"/>
    </row>
    <row r="1924" spans="1:10" ht="21" customHeight="1">
      <c r="A1924" s="507" t="s">
        <v>1269</v>
      </c>
      <c r="B1924" s="508" t="s">
        <v>1245</v>
      </c>
      <c r="C1924" s="508" t="s">
        <v>411</v>
      </c>
      <c r="D1924" s="509">
        <f>($D$1918*$D$1919*$D$1920)/$D$1922</f>
        <v>3.3826070100000001E-3</v>
      </c>
      <c r="E1924" s="509">
        <f>($E$1918*$E$1919*$E$1920)/$E$1922</f>
        <v>0</v>
      </c>
      <c r="F1924" s="509">
        <f>($F$1918*$F$1919*$F$1920)/$F$1922</f>
        <v>0</v>
      </c>
      <c r="G1924" s="509">
        <f>($G$1918*$G$1919*$G$1920)/$G$1922</f>
        <v>0</v>
      </c>
      <c r="H1924" s="509">
        <f>($H$1918*$H$1919*$H$1920)/$H$1922</f>
        <v>0</v>
      </c>
      <c r="I1924" s="509">
        <f>($I$1918*$I$1919*$I$1920)/$I$1922</f>
        <v>0</v>
      </c>
      <c r="J1924" s="508"/>
    </row>
    <row r="1925" spans="1:10" ht="21" customHeight="1">
      <c r="A1925" s="507" t="s">
        <v>1269</v>
      </c>
      <c r="B1925" s="508" t="s">
        <v>576</v>
      </c>
      <c r="C1925" s="508" t="s">
        <v>397</v>
      </c>
      <c r="D1925" s="509">
        <v>3.3E-3</v>
      </c>
      <c r="E1925" s="509">
        <v>3.3E-3</v>
      </c>
      <c r="F1925" s="509">
        <v>3.3E-3</v>
      </c>
      <c r="G1925" s="509">
        <v>3.3E-3</v>
      </c>
      <c r="H1925" s="509">
        <v>3.3E-3</v>
      </c>
      <c r="I1925" s="509">
        <f>'Cálculos Yabucoa'!B51</f>
        <v>3.3E-3</v>
      </c>
      <c r="J1925" s="508"/>
    </row>
    <row r="1926" spans="1:10" ht="21" customHeight="1">
      <c r="A1926" s="507" t="s">
        <v>1269</v>
      </c>
      <c r="B1926" s="508" t="s">
        <v>577</v>
      </c>
      <c r="C1926" s="508" t="s">
        <v>411</v>
      </c>
      <c r="D1926" s="509">
        <f>$D$1880</f>
        <v>0</v>
      </c>
      <c r="E1926" s="509">
        <f>$E$1880</f>
        <v>0</v>
      </c>
      <c r="F1926" s="509">
        <f>$F$1880</f>
        <v>0</v>
      </c>
      <c r="G1926" s="509">
        <f>$G$1880</f>
        <v>0</v>
      </c>
      <c r="H1926" s="509">
        <f>$H$1880</f>
        <v>0</v>
      </c>
      <c r="I1926" s="509">
        <f>$I$1880</f>
        <v>0</v>
      </c>
      <c r="J1926" s="508"/>
    </row>
    <row r="1927" spans="1:10" ht="21" customHeight="1">
      <c r="A1927" s="507" t="s">
        <v>1269</v>
      </c>
      <c r="B1927" s="508" t="s">
        <v>1286</v>
      </c>
      <c r="C1927" s="508" t="s">
        <v>397</v>
      </c>
      <c r="D1927" s="509">
        <v>0.13800000000000001</v>
      </c>
      <c r="E1927" s="509">
        <v>0.13800000000000001</v>
      </c>
      <c r="F1927" s="509">
        <v>0.13800000000000001</v>
      </c>
      <c r="G1927" s="509">
        <v>0.13800000000000001</v>
      </c>
      <c r="H1927" s="509">
        <v>0.13800000000000001</v>
      </c>
      <c r="I1927" s="509">
        <f>'Cálculos Yabucoa'!F51</f>
        <v>0.13800000000000001</v>
      </c>
      <c r="J1927" s="508"/>
    </row>
    <row r="1928" spans="1:10" ht="21" customHeight="1">
      <c r="A1928" s="507" t="s">
        <v>1269</v>
      </c>
      <c r="B1928" s="508" t="s">
        <v>1287</v>
      </c>
      <c r="C1928" s="508" t="s">
        <v>397</v>
      </c>
      <c r="D1928" s="509">
        <v>3.3E-3</v>
      </c>
      <c r="E1928" s="509">
        <v>3.3E-3</v>
      </c>
      <c r="F1928" s="509">
        <v>3.3E-3</v>
      </c>
      <c r="G1928" s="509">
        <v>3.3E-3</v>
      </c>
      <c r="H1928" s="509">
        <v>3.3E-3</v>
      </c>
      <c r="I1928" s="509">
        <f>'Cálculos Yabucoa'!L51</f>
        <v>3.3E-3</v>
      </c>
      <c r="J1928" s="508"/>
    </row>
    <row r="1929" spans="1:10" ht="21" customHeight="1">
      <c r="A1929" s="507" t="s">
        <v>1269</v>
      </c>
      <c r="B1929" s="508" t="s">
        <v>1288</v>
      </c>
      <c r="C1929" s="508" t="s">
        <v>411</v>
      </c>
      <c r="D1929" s="509">
        <f>$D$1881</f>
        <v>119569</v>
      </c>
      <c r="E1929" s="509">
        <f>$E$1881</f>
        <v>0</v>
      </c>
      <c r="F1929" s="509">
        <f>$F$1881</f>
        <v>0</v>
      </c>
      <c r="G1929" s="509">
        <f>$G$1881</f>
        <v>0</v>
      </c>
      <c r="H1929" s="509">
        <f>$H$1881</f>
        <v>0</v>
      </c>
      <c r="I1929" s="509">
        <f>$I$1881</f>
        <v>0</v>
      </c>
      <c r="J1929" s="508"/>
    </row>
    <row r="1930" spans="1:10" ht="21" customHeight="1">
      <c r="A1930" s="507" t="s">
        <v>1269</v>
      </c>
      <c r="B1930" s="508" t="s">
        <v>1289</v>
      </c>
      <c r="C1930" s="508" t="s">
        <v>397</v>
      </c>
      <c r="D1930" s="509">
        <v>0.13800000000000001</v>
      </c>
      <c r="E1930" s="509">
        <v>0.13800000000000001</v>
      </c>
      <c r="F1930" s="509">
        <v>0.13800000000000001</v>
      </c>
      <c r="G1930" s="509">
        <v>0.13800000000000001</v>
      </c>
      <c r="H1930" s="509">
        <v>0.13800000000000001</v>
      </c>
      <c r="I1930" s="509">
        <f>'Cálculos Yabucoa'!P51</f>
        <v>0.13800000000000001</v>
      </c>
      <c r="J1930" s="508"/>
    </row>
    <row r="1931" spans="1:10" ht="21" customHeight="1">
      <c r="A1931" s="507" t="s">
        <v>1269</v>
      </c>
      <c r="B1931" s="508" t="s">
        <v>1290</v>
      </c>
      <c r="C1931" s="508" t="s">
        <v>397</v>
      </c>
      <c r="D1931" s="509">
        <v>2000</v>
      </c>
      <c r="E1931" s="509">
        <v>2000</v>
      </c>
      <c r="F1931" s="509">
        <v>2000</v>
      </c>
      <c r="G1931" s="509">
        <v>2000</v>
      </c>
      <c r="H1931" s="509">
        <v>2000</v>
      </c>
      <c r="I1931" s="509">
        <f>'Cálculos Yabucoa'!H52</f>
        <v>2000</v>
      </c>
      <c r="J1931" s="508"/>
    </row>
    <row r="1932" spans="1:10" ht="21" customHeight="1">
      <c r="A1932" s="507" t="s">
        <v>1269</v>
      </c>
      <c r="B1932" s="508" t="s">
        <v>1291</v>
      </c>
      <c r="C1932" s="508" t="s">
        <v>397</v>
      </c>
      <c r="D1932" s="509">
        <v>2000</v>
      </c>
      <c r="E1932" s="509">
        <v>2000</v>
      </c>
      <c r="F1932" s="509">
        <v>2000</v>
      </c>
      <c r="G1932" s="509">
        <v>2000</v>
      </c>
      <c r="H1932" s="509">
        <v>2000</v>
      </c>
      <c r="I1932" s="509">
        <f>'Cálculos Yabucoa'!R52</f>
        <v>2000</v>
      </c>
      <c r="J1932" s="508"/>
    </row>
    <row r="1933" spans="1:10" ht="21" customHeight="1">
      <c r="A1933" s="507" t="s">
        <v>1269</v>
      </c>
      <c r="B1933" s="508" t="s">
        <v>1292</v>
      </c>
      <c r="C1933" s="508" t="s">
        <v>411</v>
      </c>
      <c r="D1933" s="509">
        <f>($D$1925*$D$1926*$D$1927)/$D$1931</f>
        <v>0</v>
      </c>
      <c r="E1933" s="509">
        <f>($E$1925*$E$1926*$E$1927)/$E$1931</f>
        <v>0</v>
      </c>
      <c r="F1933" s="509">
        <f>($F$1925*$F$1926*$F$1927)/$F$1931</f>
        <v>0</v>
      </c>
      <c r="G1933" s="509">
        <f>($G$1925*$G$1926*$G$1927)/$G$1931</f>
        <v>0</v>
      </c>
      <c r="H1933" s="509">
        <f>($H$1925*$H$1926*$H$1927)/$H$1931</f>
        <v>0</v>
      </c>
      <c r="I1933" s="509">
        <f>($I$1925*$I$1926*$I$1927)/$I$1931</f>
        <v>0</v>
      </c>
      <c r="J1933" s="508"/>
    </row>
    <row r="1934" spans="1:10" ht="21" customHeight="1">
      <c r="A1934" s="507" t="s">
        <v>1269</v>
      </c>
      <c r="B1934" s="508" t="s">
        <v>1293</v>
      </c>
      <c r="C1934" s="508" t="s">
        <v>411</v>
      </c>
      <c r="D1934" s="509">
        <f>($D$1928*$D$1929*$D$1930)/$D$1932</f>
        <v>2.7225861300000001E-2</v>
      </c>
      <c r="E1934" s="509">
        <f>($E$1928*$E$1929*$E$1930)/$E$1932</f>
        <v>0</v>
      </c>
      <c r="F1934" s="509">
        <f>($F$1928*$F$1929*$F$1930)/$F$1932</f>
        <v>0</v>
      </c>
      <c r="G1934" s="509">
        <f>($G$1928*$G$1929*$G$1930)/$G$1932</f>
        <v>0</v>
      </c>
      <c r="H1934" s="509">
        <f>($H$1928*$H$1929*$H$1930)/$H$1932</f>
        <v>0</v>
      </c>
      <c r="I1934" s="509">
        <f>($I$1928*$I$1929*$I$1930)/$I$1932</f>
        <v>0</v>
      </c>
      <c r="J1934" s="508"/>
    </row>
    <row r="1935" spans="1:10" ht="21" customHeight="1">
      <c r="A1935" s="507" t="s">
        <v>1269</v>
      </c>
      <c r="B1935" s="508" t="s">
        <v>641</v>
      </c>
      <c r="C1935" s="508" t="s">
        <v>397</v>
      </c>
      <c r="D1935" s="509">
        <v>1.4E-5</v>
      </c>
      <c r="E1935" s="509">
        <v>1.4E-5</v>
      </c>
      <c r="F1935" s="509">
        <v>1.4E-5</v>
      </c>
      <c r="G1935" s="509">
        <v>1.4E-5</v>
      </c>
      <c r="H1935" s="509">
        <v>1.4E-5</v>
      </c>
      <c r="I1935" s="509">
        <f>'Cálculos Yabucoa'!B59</f>
        <v>1.4E-5</v>
      </c>
      <c r="J1935" s="508"/>
    </row>
    <row r="1936" spans="1:10" ht="21" customHeight="1">
      <c r="A1936" s="507" t="s">
        <v>1269</v>
      </c>
      <c r="B1936" s="508" t="s">
        <v>1250</v>
      </c>
      <c r="C1936" s="508" t="s">
        <v>411</v>
      </c>
      <c r="D1936" s="509">
        <f>$D$1880</f>
        <v>0</v>
      </c>
      <c r="E1936" s="509">
        <f>$E$1880</f>
        <v>0</v>
      </c>
      <c r="F1936" s="509">
        <f>$F$1880</f>
        <v>0</v>
      </c>
      <c r="G1936" s="509">
        <f>$G$1880</f>
        <v>0</v>
      </c>
      <c r="H1936" s="509">
        <f>$H$1880</f>
        <v>0</v>
      </c>
      <c r="I1936" s="509">
        <f>$I$1880</f>
        <v>0</v>
      </c>
      <c r="J1936" s="508"/>
    </row>
    <row r="1937" spans="1:10" ht="21" customHeight="1">
      <c r="A1937" s="507" t="s">
        <v>1269</v>
      </c>
      <c r="B1937" s="508" t="s">
        <v>849</v>
      </c>
      <c r="C1937" s="508" t="s">
        <v>397</v>
      </c>
      <c r="D1937" s="509">
        <v>0.13800000000000001</v>
      </c>
      <c r="E1937" s="509">
        <v>0.13800000000000001</v>
      </c>
      <c r="F1937" s="509">
        <v>0.13800000000000001</v>
      </c>
      <c r="G1937" s="509">
        <v>0.13800000000000001</v>
      </c>
      <c r="H1937" s="509">
        <v>0.13800000000000001</v>
      </c>
      <c r="I1937" s="509">
        <f>'Cálculos Yabucoa'!F59</f>
        <v>0.13800000000000001</v>
      </c>
      <c r="J1937" s="508"/>
    </row>
    <row r="1938" spans="1:10" ht="21" customHeight="1">
      <c r="A1938" s="507" t="s">
        <v>1269</v>
      </c>
      <c r="B1938" s="508" t="s">
        <v>1251</v>
      </c>
      <c r="C1938" s="508" t="s">
        <v>397</v>
      </c>
      <c r="D1938" s="509">
        <v>1.4E-5</v>
      </c>
      <c r="E1938" s="509">
        <v>1.4E-5</v>
      </c>
      <c r="F1938" s="509">
        <v>1.4E-5</v>
      </c>
      <c r="G1938" s="509">
        <v>1.4E-5</v>
      </c>
      <c r="H1938" s="509">
        <v>1.4E-5</v>
      </c>
      <c r="I1938" s="509">
        <f>'Cálculos Yabucoa'!L59</f>
        <v>1.4E-5</v>
      </c>
      <c r="J1938" s="508"/>
    </row>
    <row r="1939" spans="1:10" ht="21" customHeight="1">
      <c r="A1939" s="507" t="s">
        <v>1269</v>
      </c>
      <c r="B1939" s="508" t="s">
        <v>1252</v>
      </c>
      <c r="C1939" s="508" t="s">
        <v>411</v>
      </c>
      <c r="D1939" s="509">
        <f>$D$1881</f>
        <v>119569</v>
      </c>
      <c r="E1939" s="509">
        <f>$E$1881</f>
        <v>0</v>
      </c>
      <c r="F1939" s="509">
        <f>$F$1881</f>
        <v>0</v>
      </c>
      <c r="G1939" s="509">
        <f>$G$1881</f>
        <v>0</v>
      </c>
      <c r="H1939" s="509">
        <f>$H$1881</f>
        <v>0</v>
      </c>
      <c r="I1939" s="509">
        <f>$I$1881</f>
        <v>0</v>
      </c>
      <c r="J1939" s="508"/>
    </row>
    <row r="1940" spans="1:10" ht="21" customHeight="1">
      <c r="A1940" s="507" t="s">
        <v>1269</v>
      </c>
      <c r="B1940" s="508" t="s">
        <v>917</v>
      </c>
      <c r="C1940" s="508" t="s">
        <v>397</v>
      </c>
      <c r="D1940" s="509">
        <v>0.13800000000000001</v>
      </c>
      <c r="E1940" s="509">
        <v>0.13800000000000001</v>
      </c>
      <c r="F1940" s="509">
        <v>0.13800000000000001</v>
      </c>
      <c r="G1940" s="509">
        <v>0.13800000000000001</v>
      </c>
      <c r="H1940" s="509">
        <v>0.13800000000000001</v>
      </c>
      <c r="I1940" s="509">
        <f>'Cálculos Yabucoa'!P59</f>
        <v>0.13800000000000001</v>
      </c>
      <c r="J1940" s="508"/>
    </row>
    <row r="1941" spans="1:10" ht="21" customHeight="1">
      <c r="A1941" s="507" t="s">
        <v>1269</v>
      </c>
      <c r="B1941" s="508" t="s">
        <v>1253</v>
      </c>
      <c r="C1941" s="508" t="s">
        <v>397</v>
      </c>
      <c r="D1941" s="509">
        <v>2000</v>
      </c>
      <c r="E1941" s="509">
        <v>2000</v>
      </c>
      <c r="F1941" s="509">
        <v>2000</v>
      </c>
      <c r="G1941" s="509">
        <v>2000</v>
      </c>
      <c r="H1941" s="509">
        <v>2000</v>
      </c>
      <c r="I1941" s="509">
        <f>'Cálculos Yabucoa'!H60</f>
        <v>2000</v>
      </c>
      <c r="J1941" s="508"/>
    </row>
    <row r="1942" spans="1:10" ht="21" customHeight="1">
      <c r="A1942" s="507" t="s">
        <v>1269</v>
      </c>
      <c r="B1942" s="508" t="s">
        <v>1254</v>
      </c>
      <c r="C1942" s="508" t="s">
        <v>397</v>
      </c>
      <c r="D1942" s="509">
        <v>2000</v>
      </c>
      <c r="E1942" s="509">
        <v>2000</v>
      </c>
      <c r="F1942" s="509">
        <v>2000</v>
      </c>
      <c r="G1942" s="509">
        <v>2000</v>
      </c>
      <c r="H1942" s="509">
        <v>2000</v>
      </c>
      <c r="I1942" s="509">
        <f>'Cálculos Yabucoa'!R60</f>
        <v>2000</v>
      </c>
      <c r="J1942" s="508"/>
    </row>
    <row r="1943" spans="1:10" ht="21" customHeight="1">
      <c r="A1943" s="507" t="s">
        <v>1269</v>
      </c>
      <c r="B1943" s="508" t="s">
        <v>581</v>
      </c>
      <c r="C1943" s="508" t="s">
        <v>411</v>
      </c>
      <c r="D1943" s="509">
        <f>($D$1935*$D$1936*$D$1937)/$D$1941</f>
        <v>0</v>
      </c>
      <c r="E1943" s="509">
        <f>($E$1935*$E$1936*$E$1937)/$E$1941</f>
        <v>0</v>
      </c>
      <c r="F1943" s="509">
        <f>($F$1935*$F$1936*$F$1937)/$F$1941</f>
        <v>0</v>
      </c>
      <c r="G1943" s="509">
        <f>($G$1935*$G$1936*$G$1937)/$G$1941</f>
        <v>0</v>
      </c>
      <c r="H1943" s="509">
        <f>($H$1935*$H$1936*$H$1937)/$H$1941</f>
        <v>0</v>
      </c>
      <c r="I1943" s="509">
        <f>($I$1935*$I$1936*$I$1937)/$I$1941</f>
        <v>0</v>
      </c>
      <c r="J1943" s="508"/>
    </row>
    <row r="1944" spans="1:10" ht="21" customHeight="1">
      <c r="A1944" s="507" t="s">
        <v>1269</v>
      </c>
      <c r="B1944" s="508" t="s">
        <v>1255</v>
      </c>
      <c r="C1944" s="508" t="s">
        <v>411</v>
      </c>
      <c r="D1944" s="509">
        <f>($D$1938*$D$1939*$D$1940)/$D$1942</f>
        <v>1.1550365400000001E-4</v>
      </c>
      <c r="E1944" s="509">
        <f>($E$1938*$E$1939*$E$1940)/$E$1942</f>
        <v>0</v>
      </c>
      <c r="F1944" s="509">
        <f>($F$1938*$F$1939*$F$1940)/$F$1942</f>
        <v>0</v>
      </c>
      <c r="G1944" s="509">
        <f>($G$1938*$G$1939*$G$1940)/$G$1942</f>
        <v>0</v>
      </c>
      <c r="H1944" s="509">
        <f>($H$1938*$H$1939*$H$1940)/$H$1942</f>
        <v>0</v>
      </c>
      <c r="I1944" s="509">
        <f>($I$1938*$I$1939*$I$1940)/$I$1942</f>
        <v>0</v>
      </c>
      <c r="J1944" s="508"/>
    </row>
    <row r="1945" spans="1:10" ht="21" customHeight="1">
      <c r="A1945" s="507" t="s">
        <v>1269</v>
      </c>
      <c r="B1945" s="508" t="s">
        <v>648</v>
      </c>
      <c r="C1945" s="508" t="s">
        <v>411</v>
      </c>
      <c r="D1945" s="509">
        <f>$D$1884</f>
        <v>22.578420600240001</v>
      </c>
      <c r="E1945" s="509">
        <f>$E$1884</f>
        <v>22.578420600240001</v>
      </c>
      <c r="F1945" s="509">
        <f>$F$1884</f>
        <v>22.578420600240001</v>
      </c>
      <c r="G1945" s="509">
        <f>$G$1884</f>
        <v>22.578420600240001</v>
      </c>
      <c r="H1945" s="509">
        <f>$H$1884</f>
        <v>22.578420600240001</v>
      </c>
      <c r="I1945" s="509">
        <f>$I$1884</f>
        <v>22.578420600240001</v>
      </c>
      <c r="J1945" s="508"/>
    </row>
    <row r="1946" spans="1:10" ht="21" customHeight="1">
      <c r="A1946" s="507" t="s">
        <v>1269</v>
      </c>
      <c r="B1946" s="508" t="s">
        <v>852</v>
      </c>
      <c r="C1946" s="508" t="s">
        <v>411</v>
      </c>
      <c r="D1946" s="509">
        <f>$D$1936</f>
        <v>0</v>
      </c>
      <c r="E1946" s="509">
        <f>$E$1936</f>
        <v>0</v>
      </c>
      <c r="F1946" s="509">
        <f>$F$1936</f>
        <v>0</v>
      </c>
      <c r="G1946" s="509">
        <f>$G$1936</f>
        <v>0</v>
      </c>
      <c r="H1946" s="509">
        <f>$H$1936</f>
        <v>0</v>
      </c>
      <c r="I1946" s="509">
        <f>$I$1936</f>
        <v>0</v>
      </c>
      <c r="J1946" s="508"/>
    </row>
    <row r="1947" spans="1:10" ht="21" customHeight="1">
      <c r="A1947" s="507" t="s">
        <v>1269</v>
      </c>
      <c r="B1947" s="508" t="s">
        <v>920</v>
      </c>
      <c r="C1947" s="508" t="s">
        <v>411</v>
      </c>
      <c r="D1947" s="509">
        <f>$D$1884</f>
        <v>22.578420600240001</v>
      </c>
      <c r="E1947" s="509">
        <f>$E$1884</f>
        <v>22.578420600240001</v>
      </c>
      <c r="F1947" s="509">
        <f>$F$1884</f>
        <v>22.578420600240001</v>
      </c>
      <c r="G1947" s="509">
        <f>$G$1884</f>
        <v>22.578420600240001</v>
      </c>
      <c r="H1947" s="509">
        <f>$H$1884</f>
        <v>22.578420600240001</v>
      </c>
      <c r="I1947" s="509">
        <f>$I$1884</f>
        <v>22.578420600240001</v>
      </c>
      <c r="J1947" s="508"/>
    </row>
    <row r="1948" spans="1:10" ht="21" customHeight="1">
      <c r="A1948" s="507" t="s">
        <v>1269</v>
      </c>
      <c r="B1948" s="508" t="s">
        <v>921</v>
      </c>
      <c r="C1948" s="508" t="s">
        <v>411</v>
      </c>
      <c r="D1948" s="509">
        <f>$D$1939</f>
        <v>119569</v>
      </c>
      <c r="E1948" s="509">
        <f>$E$1939</f>
        <v>0</v>
      </c>
      <c r="F1948" s="509">
        <f>$F$1939</f>
        <v>0</v>
      </c>
      <c r="G1948" s="509">
        <f>$G$1939</f>
        <v>0</v>
      </c>
      <c r="H1948" s="509">
        <f>$H$1939</f>
        <v>0</v>
      </c>
      <c r="I1948" s="509">
        <f>$I$1939</f>
        <v>0</v>
      </c>
      <c r="J1948" s="508"/>
    </row>
    <row r="1949" spans="1:10" ht="21" customHeight="1">
      <c r="A1949" s="507" t="s">
        <v>1269</v>
      </c>
      <c r="B1949" s="508" t="s">
        <v>855</v>
      </c>
      <c r="C1949" s="508" t="s">
        <v>397</v>
      </c>
      <c r="D1949" s="509">
        <v>2000</v>
      </c>
      <c r="E1949" s="509">
        <v>2000</v>
      </c>
      <c r="F1949" s="509">
        <v>2000</v>
      </c>
      <c r="G1949" s="509">
        <v>2000</v>
      </c>
      <c r="H1949" s="509">
        <v>2000</v>
      </c>
      <c r="I1949" s="509">
        <f>'Cálculos Yabucoa'!F69</f>
        <v>2000</v>
      </c>
      <c r="J1949" s="508"/>
    </row>
    <row r="1950" spans="1:10" ht="21" customHeight="1">
      <c r="A1950" s="507" t="s">
        <v>1269</v>
      </c>
      <c r="B1950" s="508" t="s">
        <v>922</v>
      </c>
      <c r="C1950" s="508" t="s">
        <v>397</v>
      </c>
      <c r="D1950" s="509">
        <v>2000</v>
      </c>
      <c r="E1950" s="509">
        <v>2000</v>
      </c>
      <c r="F1950" s="509">
        <v>2000</v>
      </c>
      <c r="G1950" s="509">
        <v>2000</v>
      </c>
      <c r="H1950" s="509">
        <v>2000</v>
      </c>
      <c r="I1950" s="509">
        <f>'Cálculos Yabucoa'!P69</f>
        <v>2000</v>
      </c>
      <c r="J1950" s="508"/>
    </row>
    <row r="1951" spans="1:10" ht="21" customHeight="1">
      <c r="A1951" s="507" t="s">
        <v>1269</v>
      </c>
      <c r="B1951" s="508" t="s">
        <v>588</v>
      </c>
      <c r="C1951" s="508" t="s">
        <v>411</v>
      </c>
      <c r="D1951" s="509">
        <f>$D$1945*$D$1946/$D$1949</f>
        <v>0</v>
      </c>
      <c r="E1951" s="509">
        <f>$E$1945*$E$1946/$E$1949</f>
        <v>0</v>
      </c>
      <c r="F1951" s="509">
        <f>$F$1945*$F$1946/$F$1949</f>
        <v>0</v>
      </c>
      <c r="G1951" s="509">
        <f>$G$1945*$G$1946/$G$1949</f>
        <v>0</v>
      </c>
      <c r="H1951" s="509">
        <f>$H$1945*$H$1946/$H$1949</f>
        <v>0</v>
      </c>
      <c r="I1951" s="509">
        <f>$I$1945*$I$1946/$I$1949</f>
        <v>0</v>
      </c>
      <c r="J1951" s="508"/>
    </row>
    <row r="1952" spans="1:10" ht="21" customHeight="1">
      <c r="A1952" s="507" t="s">
        <v>1269</v>
      </c>
      <c r="B1952" s="508" t="s">
        <v>1294</v>
      </c>
      <c r="C1952" s="508" t="s">
        <v>411</v>
      </c>
      <c r="D1952" s="509">
        <f>$D$1947*$D$1948/$D$1950</f>
        <v>1349.8395863750484</v>
      </c>
      <c r="E1952" s="509">
        <f>$E$1947*$E$1948/$E$1950</f>
        <v>0</v>
      </c>
      <c r="F1952" s="509">
        <f>$F$1947*$F$1948/$F$1950</f>
        <v>0</v>
      </c>
      <c r="G1952" s="509">
        <f>$G$1947*$G$1948/$G$1950</f>
        <v>0</v>
      </c>
      <c r="H1952" s="509">
        <f>$H$1947*$H$1948/$H$1950</f>
        <v>0</v>
      </c>
      <c r="I1952" s="509">
        <f>$I$1947*$I$1948/$I$1950</f>
        <v>0</v>
      </c>
      <c r="J1952" s="508"/>
    </row>
    <row r="1953" spans="1:10" ht="21" customHeight="1">
      <c r="A1953" s="510" t="s">
        <v>1295</v>
      </c>
      <c r="B1953" s="506"/>
      <c r="C1953" s="506"/>
      <c r="D1953" s="511"/>
      <c r="E1953" s="511"/>
      <c r="F1953" s="511"/>
      <c r="G1953" s="511"/>
      <c r="H1953" s="511"/>
      <c r="I1953" s="512"/>
      <c r="J1953" s="506"/>
    </row>
    <row r="1954" spans="1:10" ht="21" customHeight="1">
      <c r="A1954" s="507" t="s">
        <v>1295</v>
      </c>
      <c r="B1954" s="508" t="s">
        <v>661</v>
      </c>
      <c r="C1954" s="508" t="s">
        <v>411</v>
      </c>
      <c r="D1954" s="509">
        <f>$D$1893+$D$1894</f>
        <v>9.9003132000000008E-2</v>
      </c>
      <c r="E1954" s="509">
        <f>$E$1893+$E$1894</f>
        <v>0</v>
      </c>
      <c r="F1954" s="509">
        <f>$F$1893+$F$1894</f>
        <v>0</v>
      </c>
      <c r="G1954" s="509">
        <f>$G$1893+$G$1894</f>
        <v>0</v>
      </c>
      <c r="H1954" s="509">
        <f>$H$1893+$H$1894</f>
        <v>0</v>
      </c>
      <c r="I1954" s="509">
        <f>$I$1893+$I$1894</f>
        <v>0</v>
      </c>
      <c r="J1954" s="508" t="s">
        <v>11</v>
      </c>
    </row>
    <row r="1955" spans="1:10" ht="21" customHeight="1">
      <c r="A1955" s="507" t="s">
        <v>1295</v>
      </c>
      <c r="B1955" s="508" t="s">
        <v>662</v>
      </c>
      <c r="C1955" s="508" t="s">
        <v>411</v>
      </c>
      <c r="D1955" s="509">
        <f>$D$1903+$D$1904</f>
        <v>8.3327636100000019E-3</v>
      </c>
      <c r="E1955" s="509">
        <f>$E$1903+$E$1904</f>
        <v>0</v>
      </c>
      <c r="F1955" s="509">
        <f>$F$1903+$F$1904</f>
        <v>0</v>
      </c>
      <c r="G1955" s="509">
        <f>$G$1903+$G$1904</f>
        <v>0</v>
      </c>
      <c r="H1955" s="509">
        <f>$H$1903+$H$1904</f>
        <v>0</v>
      </c>
      <c r="I1955" s="509">
        <f>$I$1903+$I$1904</f>
        <v>0</v>
      </c>
      <c r="J1955" s="508" t="s">
        <v>35</v>
      </c>
    </row>
    <row r="1956" spans="1:10" ht="21" customHeight="1">
      <c r="A1956" s="507" t="s">
        <v>1295</v>
      </c>
      <c r="B1956" s="508" t="s">
        <v>663</v>
      </c>
      <c r="C1956" s="508" t="s">
        <v>411</v>
      </c>
      <c r="D1956" s="509">
        <f>$D$1913+$D$1914</f>
        <v>7.2602296800000001</v>
      </c>
      <c r="E1956" s="509">
        <f>$E$1913+$E$1914</f>
        <v>0</v>
      </c>
      <c r="F1956" s="509">
        <f>$F$1913+$F$1914</f>
        <v>0</v>
      </c>
      <c r="G1956" s="509">
        <f>$G$1913+$G$1914</f>
        <v>0</v>
      </c>
      <c r="H1956" s="509">
        <f>$H$1913+$H$1914</f>
        <v>0</v>
      </c>
      <c r="I1956" s="509">
        <f>$I$1913+$I$1914</f>
        <v>0</v>
      </c>
      <c r="J1956" s="508" t="s">
        <v>14</v>
      </c>
    </row>
    <row r="1957" spans="1:10" ht="21" customHeight="1">
      <c r="A1957" s="507" t="s">
        <v>1295</v>
      </c>
      <c r="B1957" s="508" t="s">
        <v>664</v>
      </c>
      <c r="C1957" s="508" t="s">
        <v>411</v>
      </c>
      <c r="D1957" s="509">
        <f>$D$1923+$D$1924</f>
        <v>3.3826070100000001E-3</v>
      </c>
      <c r="E1957" s="509">
        <f>$E$1923+$E$1924</f>
        <v>0</v>
      </c>
      <c r="F1957" s="509">
        <f>$F$1923+$F$1924</f>
        <v>0</v>
      </c>
      <c r="G1957" s="509">
        <f>$G$1923+$G$1924</f>
        <v>0</v>
      </c>
      <c r="H1957" s="509">
        <f>$H$1923+$H$1924</f>
        <v>0</v>
      </c>
      <c r="I1957" s="509">
        <f>$I$1923+$I$1924</f>
        <v>0</v>
      </c>
      <c r="J1957" s="508" t="s">
        <v>16</v>
      </c>
    </row>
    <row r="1958" spans="1:10" ht="21" customHeight="1">
      <c r="A1958" s="507" t="s">
        <v>1295</v>
      </c>
      <c r="B1958" s="508" t="s">
        <v>665</v>
      </c>
      <c r="C1958" s="508" t="s">
        <v>411</v>
      </c>
      <c r="D1958" s="509">
        <f>$D$1933+$D$1934</f>
        <v>2.7225861300000001E-2</v>
      </c>
      <c r="E1958" s="509">
        <f>$E$1933+$E$1934</f>
        <v>0</v>
      </c>
      <c r="F1958" s="509">
        <f>$F$1933+$F$1934</f>
        <v>0</v>
      </c>
      <c r="G1958" s="509">
        <f>$G$1933+$G$1934</f>
        <v>0</v>
      </c>
      <c r="H1958" s="509">
        <f>$H$1933+$H$1934</f>
        <v>0</v>
      </c>
      <c r="I1958" s="509">
        <f>$I$1933+$I$1934</f>
        <v>0</v>
      </c>
      <c r="J1958" s="508" t="s">
        <v>15</v>
      </c>
    </row>
    <row r="1959" spans="1:10" ht="21" customHeight="1">
      <c r="A1959" s="507" t="s">
        <v>1295</v>
      </c>
      <c r="B1959" s="508" t="s">
        <v>565</v>
      </c>
      <c r="C1959" s="508" t="s">
        <v>411</v>
      </c>
      <c r="D1959" s="509">
        <f>$D$1943+$D$1944</f>
        <v>1.1550365400000001E-4</v>
      </c>
      <c r="E1959" s="509">
        <f>$E$1943+$E$1944</f>
        <v>0</v>
      </c>
      <c r="F1959" s="509">
        <f>$F$1943+$F$1944</f>
        <v>0</v>
      </c>
      <c r="G1959" s="509">
        <f>$G$1943+$G$1944</f>
        <v>0</v>
      </c>
      <c r="H1959" s="509">
        <f>$H$1943+$H$1944</f>
        <v>0</v>
      </c>
      <c r="I1959" s="509">
        <f>$I$1943+$I$1944</f>
        <v>0</v>
      </c>
      <c r="J1959" s="508" t="s">
        <v>1268</v>
      </c>
    </row>
    <row r="1960" spans="1:10" ht="21" customHeight="1">
      <c r="A1960" s="507" t="s">
        <v>1295</v>
      </c>
      <c r="B1960" s="508" t="s">
        <v>666</v>
      </c>
      <c r="C1960" s="508" t="s">
        <v>411</v>
      </c>
      <c r="D1960" s="509">
        <f>$D$1951+$D$1952</f>
        <v>1349.8395863750484</v>
      </c>
      <c r="E1960" s="509">
        <f>$E$1951+$E$1952</f>
        <v>0</v>
      </c>
      <c r="F1960" s="509">
        <f>$F$1951+$F$1952</f>
        <v>0</v>
      </c>
      <c r="G1960" s="509">
        <f>$G$1951+$G$1952</f>
        <v>0</v>
      </c>
      <c r="H1960" s="509">
        <f>$H$1951+$H$1952</f>
        <v>0</v>
      </c>
      <c r="I1960" s="509">
        <f>$I$1951+$I$1952</f>
        <v>0</v>
      </c>
      <c r="J1960" s="508" t="s">
        <v>671</v>
      </c>
    </row>
    <row r="1961" spans="1:10" ht="21" customHeight="1">
      <c r="A1961" s="510" t="s">
        <v>1296</v>
      </c>
      <c r="B1961" s="506"/>
      <c r="C1961" s="506"/>
      <c r="D1961" s="511"/>
      <c r="E1961" s="511"/>
      <c r="F1961" s="511"/>
      <c r="G1961" s="511"/>
      <c r="H1961" s="511"/>
      <c r="I1961" s="512"/>
      <c r="J1961" s="506"/>
    </row>
    <row r="1962" spans="1:10" ht="21" customHeight="1">
      <c r="A1962" s="507" t="s">
        <v>1296</v>
      </c>
      <c r="B1962" s="508" t="s">
        <v>407</v>
      </c>
      <c r="C1962" s="508" t="s">
        <v>397</v>
      </c>
      <c r="D1962" s="509">
        <v>1.01</v>
      </c>
      <c r="E1962" s="509">
        <v>1.01</v>
      </c>
      <c r="F1962" s="509">
        <v>1.01</v>
      </c>
      <c r="G1962" s="509">
        <v>1.01</v>
      </c>
      <c r="H1962" s="509">
        <v>1.01</v>
      </c>
      <c r="I1962" s="509">
        <f>'Cálculos Vega Baja'!B6</f>
        <v>1.01</v>
      </c>
      <c r="J1962" s="508" t="s">
        <v>35</v>
      </c>
    </row>
    <row r="1963" spans="1:10" ht="21" customHeight="1">
      <c r="A1963" s="507" t="s">
        <v>1296</v>
      </c>
      <c r="B1963" s="508" t="s">
        <v>418</v>
      </c>
      <c r="C1963" s="508" t="s">
        <v>397</v>
      </c>
      <c r="D1963" s="509">
        <v>1.01</v>
      </c>
      <c r="E1963" s="509">
        <v>1.01</v>
      </c>
      <c r="F1963" s="509">
        <v>1.01</v>
      </c>
      <c r="G1963" s="509">
        <v>1.01</v>
      </c>
      <c r="H1963" s="509">
        <v>1.01</v>
      </c>
      <c r="I1963" s="509">
        <f>'Cálculos Vega Baja'!L6</f>
        <v>1.01</v>
      </c>
      <c r="J1963" s="508" t="s">
        <v>35</v>
      </c>
    </row>
    <row r="1964" spans="1:10" ht="21" customHeight="1">
      <c r="A1964" s="507" t="s">
        <v>1296</v>
      </c>
      <c r="B1964" s="508" t="s">
        <v>469</v>
      </c>
      <c r="C1964" s="508" t="s">
        <v>411</v>
      </c>
      <c r="D1964" s="509">
        <f>$D$1332</f>
        <v>0</v>
      </c>
      <c r="E1964" s="509">
        <f>$E$1352</f>
        <v>0</v>
      </c>
      <c r="F1964" s="509">
        <f>$F$1372</f>
        <v>0</v>
      </c>
      <c r="G1964" s="509">
        <f>$G$1392</f>
        <v>0</v>
      </c>
      <c r="H1964" s="509">
        <f>$H$1412</f>
        <v>0</v>
      </c>
      <c r="I1964" s="509">
        <f>$I$1432</f>
        <v>0</v>
      </c>
      <c r="J1964" s="508" t="s">
        <v>318</v>
      </c>
    </row>
    <row r="1965" spans="1:10" ht="21" customHeight="1">
      <c r="A1965" s="507" t="s">
        <v>1296</v>
      </c>
      <c r="B1965" s="508" t="s">
        <v>1202</v>
      </c>
      <c r="C1965" s="508" t="s">
        <v>411</v>
      </c>
      <c r="D1965" s="509">
        <f>$D$1333</f>
        <v>0</v>
      </c>
      <c r="E1965" s="509">
        <f>$E$1353</f>
        <v>0</v>
      </c>
      <c r="F1965" s="509">
        <f>$F$1373</f>
        <v>0</v>
      </c>
      <c r="G1965" s="509">
        <f>$G$1393</f>
        <v>0</v>
      </c>
      <c r="H1965" s="509">
        <f>$H$1413</f>
        <v>0</v>
      </c>
      <c r="I1965" s="509">
        <f>$I$1433</f>
        <v>0</v>
      </c>
      <c r="J1965" s="508" t="s">
        <v>318</v>
      </c>
    </row>
    <row r="1966" spans="1:10" ht="21" customHeight="1">
      <c r="A1966" s="507" t="s">
        <v>1296</v>
      </c>
      <c r="B1966" s="508" t="s">
        <v>474</v>
      </c>
      <c r="C1966" s="508" t="s">
        <v>411</v>
      </c>
      <c r="D1966" s="509">
        <f>$D$1508</f>
        <v>1.0000000000000002E-3</v>
      </c>
      <c r="E1966" s="509">
        <f>$E$1348</f>
        <v>0.01</v>
      </c>
      <c r="F1966" s="509">
        <f>$F$1368</f>
        <v>0.01</v>
      </c>
      <c r="G1966" s="509">
        <f>$G$1388</f>
        <v>0.01</v>
      </c>
      <c r="H1966" s="509">
        <f>$H$1408</f>
        <v>0.01</v>
      </c>
      <c r="I1966" s="509">
        <f>$I$1428</f>
        <v>0.01</v>
      </c>
      <c r="J1966" s="508" t="s">
        <v>57</v>
      </c>
    </row>
    <row r="1967" spans="1:10" ht="21" customHeight="1">
      <c r="A1967" s="507" t="s">
        <v>1296</v>
      </c>
      <c r="B1967" s="508" t="s">
        <v>1207</v>
      </c>
      <c r="C1967" s="508" t="s">
        <v>411</v>
      </c>
      <c r="D1967" s="509">
        <f>$D$1509</f>
        <v>1.0000000000000002E-3</v>
      </c>
      <c r="E1967" s="509">
        <f>$E$1349</f>
        <v>0.01</v>
      </c>
      <c r="F1967" s="509">
        <f>$F$1369</f>
        <v>0.01</v>
      </c>
      <c r="G1967" s="509">
        <f>$G$1389</f>
        <v>0.01</v>
      </c>
      <c r="H1967" s="509">
        <f>$H$1409</f>
        <v>0.01</v>
      </c>
      <c r="I1967" s="509">
        <f>$I$1429</f>
        <v>0.01</v>
      </c>
      <c r="J1967" s="508" t="s">
        <v>57</v>
      </c>
    </row>
    <row r="1968" spans="1:10" ht="21" customHeight="1">
      <c r="A1968" s="507" t="s">
        <v>1296</v>
      </c>
      <c r="B1968" s="508" t="s">
        <v>896</v>
      </c>
      <c r="C1968" s="508" t="s">
        <v>411</v>
      </c>
      <c r="D1968" s="509">
        <f>(73.96+0.003*25+0.0006*298)*2.2046*0.138</f>
        <v>22.578420600240001</v>
      </c>
      <c r="E1968" s="509">
        <f>(73.96+0.003*25+0.0006*298)*2.2046*0.138</f>
        <v>22.578420600240001</v>
      </c>
      <c r="F1968" s="509">
        <f>(73.96+0.003*25+0.0006*298)*2.2046*0.138</f>
        <v>22.578420600240001</v>
      </c>
      <c r="G1968" s="509">
        <f>(73.96+0.003*25+0.0006*298)*2.2046*0.138</f>
        <v>22.578420600240001</v>
      </c>
      <c r="H1968" s="509">
        <f>(73.96+0.003*25+0.0006*298)*2.2046*0.138</f>
        <v>22.578420600240001</v>
      </c>
      <c r="I1968" s="509">
        <f>(73.96+0.003*25+0.0006*298)*2.2046*0.138</f>
        <v>22.578420600240001</v>
      </c>
      <c r="J1968" s="508" t="s">
        <v>57</v>
      </c>
    </row>
    <row r="1969" spans="1:10" ht="21" customHeight="1">
      <c r="A1969" s="507" t="s">
        <v>1296</v>
      </c>
      <c r="B1969" s="508" t="s">
        <v>566</v>
      </c>
      <c r="C1969" s="508" t="s">
        <v>397</v>
      </c>
      <c r="D1969" s="509">
        <v>1.2E-2</v>
      </c>
      <c r="E1969" s="509">
        <v>1.2E-2</v>
      </c>
      <c r="F1969" s="509">
        <v>1.2E-2</v>
      </c>
      <c r="G1969" s="509">
        <v>1.2E-2</v>
      </c>
      <c r="H1969" s="509">
        <v>1.2E-2</v>
      </c>
      <c r="I1969" s="509">
        <f>'Cálculos Vega Baja'!B19</f>
        <v>1.2E-2</v>
      </c>
      <c r="J1969" s="508"/>
    </row>
    <row r="1970" spans="1:10" ht="21" customHeight="1">
      <c r="A1970" s="507" t="s">
        <v>1296</v>
      </c>
      <c r="B1970" s="508" t="s">
        <v>666</v>
      </c>
      <c r="C1970" s="508" t="s">
        <v>411</v>
      </c>
      <c r="D1970" s="509">
        <f>$D$1964</f>
        <v>0</v>
      </c>
      <c r="E1970" s="509">
        <f>$E$1964</f>
        <v>0</v>
      </c>
      <c r="F1970" s="509">
        <f>$F$1964</f>
        <v>0</v>
      </c>
      <c r="G1970" s="509">
        <f>$G$1964</f>
        <v>0</v>
      </c>
      <c r="H1970" s="509">
        <f>$H$1964</f>
        <v>0</v>
      </c>
      <c r="I1970" s="509">
        <f>$I$1964</f>
        <v>0</v>
      </c>
      <c r="J1970" s="508"/>
    </row>
    <row r="1971" spans="1:10" ht="21" customHeight="1">
      <c r="A1971" s="507" t="s">
        <v>1296</v>
      </c>
      <c r="B1971" s="508" t="s">
        <v>567</v>
      </c>
      <c r="C1971" s="508" t="s">
        <v>397</v>
      </c>
      <c r="D1971" s="509">
        <v>0.13800000000000001</v>
      </c>
      <c r="E1971" s="509">
        <v>0.13800000000000001</v>
      </c>
      <c r="F1971" s="509">
        <v>0.13800000000000001</v>
      </c>
      <c r="G1971" s="509">
        <v>0.13800000000000001</v>
      </c>
      <c r="H1971" s="509">
        <v>0.13800000000000001</v>
      </c>
      <c r="I1971" s="509">
        <f>'Cálculos Vega Baja'!F19</f>
        <v>0.13800000000000001</v>
      </c>
      <c r="J1971" s="508"/>
    </row>
    <row r="1972" spans="1:10" ht="21" customHeight="1">
      <c r="A1972" s="507" t="s">
        <v>1296</v>
      </c>
      <c r="B1972" s="508" t="s">
        <v>1235</v>
      </c>
      <c r="C1972" s="508" t="s">
        <v>397</v>
      </c>
      <c r="D1972" s="509">
        <v>1.2E-2</v>
      </c>
      <c r="E1972" s="509">
        <v>1.2E-2</v>
      </c>
      <c r="F1972" s="509">
        <v>1.2E-2</v>
      </c>
      <c r="G1972" s="509">
        <v>1.2E-2</v>
      </c>
      <c r="H1972" s="509">
        <v>1.2E-2</v>
      </c>
      <c r="I1972" s="509">
        <f>'Cálculos Vega Baja'!L19</f>
        <v>1.2E-2</v>
      </c>
      <c r="J1972" s="508"/>
    </row>
    <row r="1973" spans="1:10" ht="21" customHeight="1">
      <c r="A1973" s="507" t="s">
        <v>1296</v>
      </c>
      <c r="B1973" s="508" t="s">
        <v>1236</v>
      </c>
      <c r="C1973" s="508" t="s">
        <v>411</v>
      </c>
      <c r="D1973" s="509">
        <f>$D$1965</f>
        <v>0</v>
      </c>
      <c r="E1973" s="509">
        <f>$E$1965</f>
        <v>0</v>
      </c>
      <c r="F1973" s="509">
        <f>$F$1965</f>
        <v>0</v>
      </c>
      <c r="G1973" s="509">
        <f>$G$1965</f>
        <v>0</v>
      </c>
      <c r="H1973" s="509">
        <f>$H$1965</f>
        <v>0</v>
      </c>
      <c r="I1973" s="509">
        <f>$I$1965</f>
        <v>0</v>
      </c>
      <c r="J1973" s="508"/>
    </row>
    <row r="1974" spans="1:10" ht="21" customHeight="1">
      <c r="A1974" s="507" t="s">
        <v>1296</v>
      </c>
      <c r="B1974" s="508" t="s">
        <v>900</v>
      </c>
      <c r="C1974" s="508" t="s">
        <v>397</v>
      </c>
      <c r="D1974" s="509">
        <v>0.13800000000000001</v>
      </c>
      <c r="E1974" s="509">
        <v>0.13800000000000001</v>
      </c>
      <c r="F1974" s="509">
        <v>0.13800000000000001</v>
      </c>
      <c r="G1974" s="509">
        <v>0.13800000000000001</v>
      </c>
      <c r="H1974" s="509">
        <v>0.13800000000000001</v>
      </c>
      <c r="I1974" s="509">
        <f>'Cálculos Vega Baja'!P19</f>
        <v>0.13800000000000001</v>
      </c>
      <c r="J1974" s="508"/>
    </row>
    <row r="1975" spans="1:10" ht="21" customHeight="1">
      <c r="A1975" s="507" t="s">
        <v>1296</v>
      </c>
      <c r="B1975" s="508" t="s">
        <v>600</v>
      </c>
      <c r="C1975" s="508" t="s">
        <v>397</v>
      </c>
      <c r="D1975" s="509">
        <v>2000</v>
      </c>
      <c r="E1975" s="509">
        <v>2000</v>
      </c>
      <c r="F1975" s="509">
        <v>2000</v>
      </c>
      <c r="G1975" s="509">
        <v>2000</v>
      </c>
      <c r="H1975" s="509">
        <v>2000</v>
      </c>
      <c r="I1975" s="509">
        <f>'Cálculos Vega Baja'!H20</f>
        <v>2000</v>
      </c>
      <c r="J1975" s="508"/>
    </row>
    <row r="1976" spans="1:10" ht="21" customHeight="1">
      <c r="A1976" s="507" t="s">
        <v>1296</v>
      </c>
      <c r="B1976" s="508" t="s">
        <v>603</v>
      </c>
      <c r="C1976" s="508" t="s">
        <v>397</v>
      </c>
      <c r="D1976" s="509">
        <v>2000</v>
      </c>
      <c r="E1976" s="509">
        <v>2000</v>
      </c>
      <c r="F1976" s="509">
        <v>2000</v>
      </c>
      <c r="G1976" s="509">
        <v>2000</v>
      </c>
      <c r="H1976" s="509">
        <v>2000</v>
      </c>
      <c r="I1976" s="509">
        <f>'Cálculos Vega Baja'!R20</f>
        <v>2000</v>
      </c>
      <c r="J1976" s="508"/>
    </row>
    <row r="1977" spans="1:10" ht="21" customHeight="1">
      <c r="A1977" s="507" t="s">
        <v>1296</v>
      </c>
      <c r="B1977" s="508" t="s">
        <v>604</v>
      </c>
      <c r="C1977" s="508" t="s">
        <v>411</v>
      </c>
      <c r="D1977" s="509">
        <f>($D$1969*$D$1970*$D$1971)/$D$1975</f>
        <v>0</v>
      </c>
      <c r="E1977" s="509">
        <f>($E$1969*$E$1970*$E$1971)/$E$1975</f>
        <v>0</v>
      </c>
      <c r="F1977" s="509">
        <f>($F$1969*$F$1970*$F$1971)/$F$1975</f>
        <v>0</v>
      </c>
      <c r="G1977" s="509">
        <f>($G$1969*$G$1970*$G$1971)/$G$1975</f>
        <v>0</v>
      </c>
      <c r="H1977" s="509">
        <f>($H$1969*$H$1970*$H$1971)/$H$1975</f>
        <v>0</v>
      </c>
      <c r="I1977" s="509">
        <f>($I$1969*$I$1970*$I$1971)/$I$1975</f>
        <v>0</v>
      </c>
      <c r="J1977" s="508"/>
    </row>
    <row r="1978" spans="1:10" ht="21" customHeight="1">
      <c r="A1978" s="507" t="s">
        <v>1296</v>
      </c>
      <c r="B1978" s="508" t="s">
        <v>766</v>
      </c>
      <c r="C1978" s="508" t="s">
        <v>411</v>
      </c>
      <c r="D1978" s="509">
        <f>($D$1972*$D$1973*$D$1974)/$D$1976</f>
        <v>0</v>
      </c>
      <c r="E1978" s="509">
        <f>($E$1972*$E$1973*$E$1974)/$E$1976</f>
        <v>0</v>
      </c>
      <c r="F1978" s="509">
        <f>($F$1972*$F$1973*$F$1974)/$F$1976</f>
        <v>0</v>
      </c>
      <c r="G1978" s="509">
        <f>($G$1972*$G$1973*$G$1974)/$G$1976</f>
        <v>0</v>
      </c>
      <c r="H1978" s="509">
        <f>($H$1972*$H$1973*$H$1974)/$H$1976</f>
        <v>0</v>
      </c>
      <c r="I1978" s="509">
        <f>($I$1972*$I$1973*$I$1974)/$I$1976</f>
        <v>0</v>
      </c>
      <c r="J1978" s="508"/>
    </row>
    <row r="1979" spans="1:10" ht="21" customHeight="1">
      <c r="A1979" s="507" t="s">
        <v>1296</v>
      </c>
      <c r="B1979" s="508" t="s">
        <v>513</v>
      </c>
      <c r="C1979" s="508" t="s">
        <v>411</v>
      </c>
      <c r="D1979" s="509">
        <f>$D$1962*$D$1966</f>
        <v>1.0100000000000003E-3</v>
      </c>
      <c r="E1979" s="509">
        <f>$E$1962*$E$1966</f>
        <v>1.01E-2</v>
      </c>
      <c r="F1979" s="509">
        <f>$F$1962*$F$1966</f>
        <v>1.01E-2</v>
      </c>
      <c r="G1979" s="509">
        <f>$G$1962*$G$1966</f>
        <v>1.01E-2</v>
      </c>
      <c r="H1979" s="509">
        <f>$H$1962*$H$1966</f>
        <v>1.01E-2</v>
      </c>
      <c r="I1979" s="509">
        <f>$I$1962*$I$1966</f>
        <v>1.01E-2</v>
      </c>
      <c r="J1979" s="508"/>
    </row>
    <row r="1980" spans="1:10" ht="21" customHeight="1">
      <c r="A1980" s="507" t="s">
        <v>1296</v>
      </c>
      <c r="B1980" s="508" t="s">
        <v>515</v>
      </c>
      <c r="C1980" s="508" t="s">
        <v>411</v>
      </c>
      <c r="D1980" s="509">
        <f>$D$1964</f>
        <v>0</v>
      </c>
      <c r="E1980" s="509">
        <f>$E$1964</f>
        <v>0</v>
      </c>
      <c r="F1980" s="509">
        <f>$F$1964</f>
        <v>0</v>
      </c>
      <c r="G1980" s="509">
        <f>$G$1964</f>
        <v>0</v>
      </c>
      <c r="H1980" s="509">
        <f>$H$1964</f>
        <v>0</v>
      </c>
      <c r="I1980" s="509">
        <f>$I$1964</f>
        <v>0</v>
      </c>
      <c r="J1980" s="508"/>
    </row>
    <row r="1981" spans="1:10" ht="21" customHeight="1">
      <c r="A1981" s="507" t="s">
        <v>1296</v>
      </c>
      <c r="B1981" s="508" t="s">
        <v>833</v>
      </c>
      <c r="C1981" s="508" t="s">
        <v>397</v>
      </c>
      <c r="D1981" s="509">
        <v>0.13800000000000001</v>
      </c>
      <c r="E1981" s="509">
        <v>0.13800000000000001</v>
      </c>
      <c r="F1981" s="509">
        <v>0.13800000000000001</v>
      </c>
      <c r="G1981" s="509">
        <v>0.13800000000000001</v>
      </c>
      <c r="H1981" s="509">
        <v>0.13800000000000001</v>
      </c>
      <c r="I1981" s="509">
        <f>'Cálculos Vega Baja'!F29</f>
        <v>0.13800000000000001</v>
      </c>
      <c r="J1981" s="508"/>
    </row>
    <row r="1982" spans="1:10" ht="21" customHeight="1">
      <c r="A1982" s="507" t="s">
        <v>1296</v>
      </c>
      <c r="B1982" s="508" t="s">
        <v>1275</v>
      </c>
      <c r="C1982" s="508" t="s">
        <v>411</v>
      </c>
      <c r="D1982" s="509">
        <f>$D$1963*$D$1967</f>
        <v>1.0100000000000003E-3</v>
      </c>
      <c r="E1982" s="509">
        <f>$E$1963*$E$1967</f>
        <v>1.01E-2</v>
      </c>
      <c r="F1982" s="509">
        <f>$F$1963*$F$1967</f>
        <v>1.01E-2</v>
      </c>
      <c r="G1982" s="509">
        <f>$G$1963*$G$1967</f>
        <v>1.01E-2</v>
      </c>
      <c r="H1982" s="509">
        <f>$H$1963*$H$1967</f>
        <v>1.01E-2</v>
      </c>
      <c r="I1982" s="509">
        <f>$I$1963*$I$1967</f>
        <v>1.01E-2</v>
      </c>
      <c r="J1982" s="508"/>
    </row>
    <row r="1983" spans="1:10" ht="21" customHeight="1">
      <c r="A1983" s="507" t="s">
        <v>1296</v>
      </c>
      <c r="B1983" s="508" t="s">
        <v>1297</v>
      </c>
      <c r="C1983" s="508" t="s">
        <v>411</v>
      </c>
      <c r="D1983" s="509">
        <f>$D$1965</f>
        <v>0</v>
      </c>
      <c r="E1983" s="509">
        <f>$E$1965</f>
        <v>0</v>
      </c>
      <c r="F1983" s="509">
        <f>$F$1965</f>
        <v>0</v>
      </c>
      <c r="G1983" s="509">
        <f>$G$1965</f>
        <v>0</v>
      </c>
      <c r="H1983" s="509">
        <f>$H$1965</f>
        <v>0</v>
      </c>
      <c r="I1983" s="509">
        <f>$I$1965</f>
        <v>0</v>
      </c>
      <c r="J1983" s="508"/>
    </row>
    <row r="1984" spans="1:10" ht="21" customHeight="1">
      <c r="A1984" s="507" t="s">
        <v>1296</v>
      </c>
      <c r="B1984" s="508" t="s">
        <v>902</v>
      </c>
      <c r="C1984" s="508" t="s">
        <v>397</v>
      </c>
      <c r="D1984" s="509">
        <v>0.13800000000000001</v>
      </c>
      <c r="E1984" s="509">
        <v>0.13800000000000001</v>
      </c>
      <c r="F1984" s="509">
        <v>0.13800000000000001</v>
      </c>
      <c r="G1984" s="509">
        <v>0.13800000000000001</v>
      </c>
      <c r="H1984" s="509">
        <v>0.13800000000000001</v>
      </c>
      <c r="I1984" s="509">
        <f>'Cálculos Vega Baja'!P29</f>
        <v>0.13800000000000001</v>
      </c>
      <c r="J1984" s="508"/>
    </row>
    <row r="1985" spans="1:10" ht="21" customHeight="1">
      <c r="A1985" s="507" t="s">
        <v>1296</v>
      </c>
      <c r="B1985" s="508" t="s">
        <v>1298</v>
      </c>
      <c r="C1985" s="508" t="s">
        <v>397</v>
      </c>
      <c r="D1985" s="509">
        <v>2000</v>
      </c>
      <c r="E1985" s="509">
        <v>2000</v>
      </c>
      <c r="F1985" s="509">
        <v>2000</v>
      </c>
      <c r="G1985" s="509">
        <v>2000</v>
      </c>
      <c r="H1985" s="509">
        <v>2000</v>
      </c>
      <c r="I1985" s="509">
        <f>'Cálculos Vega Baja'!H30</f>
        <v>2000</v>
      </c>
      <c r="J1985" s="508"/>
    </row>
    <row r="1986" spans="1:10" ht="21" customHeight="1">
      <c r="A1986" s="507" t="s">
        <v>1296</v>
      </c>
      <c r="B1986" s="508" t="s">
        <v>1299</v>
      </c>
      <c r="C1986" s="508" t="s">
        <v>397</v>
      </c>
      <c r="D1986" s="509">
        <v>2000</v>
      </c>
      <c r="E1986" s="509">
        <v>2000</v>
      </c>
      <c r="F1986" s="509">
        <v>2000</v>
      </c>
      <c r="G1986" s="509">
        <v>2000</v>
      </c>
      <c r="H1986" s="509">
        <v>2000</v>
      </c>
      <c r="I1986" s="509">
        <f>'Cálculos Vega Baja'!R30</f>
        <v>2000</v>
      </c>
      <c r="J1986" s="508"/>
    </row>
    <row r="1987" spans="1:10" ht="21" customHeight="1">
      <c r="A1987" s="507" t="s">
        <v>1296</v>
      </c>
      <c r="B1987" s="508" t="s">
        <v>1300</v>
      </c>
      <c r="C1987" s="508" t="s">
        <v>411</v>
      </c>
      <c r="D1987" s="509">
        <f>($D$1979*$D$1980*$D$1981)/$D$1985</f>
        <v>0</v>
      </c>
      <c r="E1987" s="509">
        <f>($E$1979*$E$1980*$E$1981)/$E$1985</f>
        <v>0</v>
      </c>
      <c r="F1987" s="509">
        <f>($F$1979*$F$1980*$F$1981)/$F$1985</f>
        <v>0</v>
      </c>
      <c r="G1987" s="509">
        <f>($G$1979*$G$1980*$G$1981)/$G$1985</f>
        <v>0</v>
      </c>
      <c r="H1987" s="509">
        <f>($H$1979*$H$1980*$H$1981)/$H$1985</f>
        <v>0</v>
      </c>
      <c r="I1987" s="509">
        <f>($I$1979*$I$1980*$I$1981)/$I$1985</f>
        <v>0</v>
      </c>
      <c r="J1987" s="508"/>
    </row>
    <row r="1988" spans="1:10" ht="21" customHeight="1">
      <c r="A1988" s="507" t="s">
        <v>1296</v>
      </c>
      <c r="B1988" s="508" t="s">
        <v>1301</v>
      </c>
      <c r="C1988" s="508" t="s">
        <v>411</v>
      </c>
      <c r="D1988" s="509">
        <f>($D$1982*$D$1983*$D$1984)/$D$1986</f>
        <v>0</v>
      </c>
      <c r="E1988" s="509">
        <f>($E$1982*$E$1983*$E$1984)/$E$1986</f>
        <v>0</v>
      </c>
      <c r="F1988" s="509">
        <f>($F$1982*$F$1983*$F$1984)/$F$1986</f>
        <v>0</v>
      </c>
      <c r="G1988" s="509">
        <f>($G$1982*$G$1983*$G$1984)/$G$1986</f>
        <v>0</v>
      </c>
      <c r="H1988" s="509">
        <f>($H$1982*$H$1983*$H$1984)/$H$1986</f>
        <v>0</v>
      </c>
      <c r="I1988" s="509">
        <f>($I$1982*$I$1983*$I$1984)/$I$1986</f>
        <v>0</v>
      </c>
      <c r="J1988" s="508"/>
    </row>
    <row r="1989" spans="1:10" ht="21" customHeight="1">
      <c r="A1989" s="507" t="s">
        <v>1296</v>
      </c>
      <c r="B1989" s="508" t="s">
        <v>1302</v>
      </c>
      <c r="C1989" s="508" t="s">
        <v>397</v>
      </c>
      <c r="D1989" s="509">
        <v>0.88</v>
      </c>
      <c r="E1989" s="509">
        <v>0.88</v>
      </c>
      <c r="F1989" s="509">
        <v>0.88</v>
      </c>
      <c r="G1989" s="509">
        <v>0.88</v>
      </c>
      <c r="H1989" s="509">
        <v>0.88</v>
      </c>
      <c r="I1989" s="509">
        <f>'Cálculos Vega Baja'!B39</f>
        <v>0.88</v>
      </c>
      <c r="J1989" s="508"/>
    </row>
    <row r="1990" spans="1:10" ht="21" customHeight="1">
      <c r="A1990" s="507" t="s">
        <v>1296</v>
      </c>
      <c r="B1990" s="508" t="s">
        <v>1303</v>
      </c>
      <c r="C1990" s="508" t="s">
        <v>411</v>
      </c>
      <c r="D1990" s="509">
        <f>$D$1964</f>
        <v>0</v>
      </c>
      <c r="E1990" s="509">
        <f>$E$1964</f>
        <v>0</v>
      </c>
      <c r="F1990" s="509">
        <f>$F$1964</f>
        <v>0</v>
      </c>
      <c r="G1990" s="509">
        <f>$G$1964</f>
        <v>0</v>
      </c>
      <c r="H1990" s="509">
        <f>$H$1964</f>
        <v>0</v>
      </c>
      <c r="I1990" s="509">
        <f>$I$1964</f>
        <v>0</v>
      </c>
      <c r="J1990" s="508"/>
    </row>
    <row r="1991" spans="1:10" ht="21" customHeight="1">
      <c r="A1991" s="507" t="s">
        <v>1296</v>
      </c>
      <c r="B1991" s="508" t="s">
        <v>1304</v>
      </c>
      <c r="C1991" s="508" t="s">
        <v>397</v>
      </c>
      <c r="D1991" s="509">
        <v>0.13800000000000001</v>
      </c>
      <c r="E1991" s="509">
        <v>0.13800000000000001</v>
      </c>
      <c r="F1991" s="509">
        <v>0.13800000000000001</v>
      </c>
      <c r="G1991" s="509">
        <v>0.13800000000000001</v>
      </c>
      <c r="H1991" s="509">
        <v>0.13800000000000001</v>
      </c>
      <c r="I1991" s="509">
        <f>'Cálculos Vega Baja'!F39</f>
        <v>0.13800000000000001</v>
      </c>
      <c r="J1991" s="508"/>
    </row>
    <row r="1992" spans="1:10" ht="21" customHeight="1">
      <c r="A1992" s="507" t="s">
        <v>1296</v>
      </c>
      <c r="B1992" s="508" t="s">
        <v>1305</v>
      </c>
      <c r="C1992" s="508" t="s">
        <v>397</v>
      </c>
      <c r="D1992" s="509">
        <v>0.88</v>
      </c>
      <c r="E1992" s="509">
        <v>0.88</v>
      </c>
      <c r="F1992" s="509">
        <v>0.88</v>
      </c>
      <c r="G1992" s="509">
        <v>0.88</v>
      </c>
      <c r="H1992" s="509">
        <v>0.88</v>
      </c>
      <c r="I1992" s="509">
        <f>'Cálculos Vega Baja'!L39</f>
        <v>0.88</v>
      </c>
      <c r="J1992" s="508"/>
    </row>
    <row r="1993" spans="1:10" ht="21" customHeight="1">
      <c r="A1993" s="507" t="s">
        <v>1296</v>
      </c>
      <c r="B1993" s="508" t="s">
        <v>1306</v>
      </c>
      <c r="C1993" s="508" t="s">
        <v>411</v>
      </c>
      <c r="D1993" s="509">
        <f>$D$1965</f>
        <v>0</v>
      </c>
      <c r="E1993" s="509">
        <f>$E$1965</f>
        <v>0</v>
      </c>
      <c r="F1993" s="509">
        <f>$F$1965</f>
        <v>0</v>
      </c>
      <c r="G1993" s="509">
        <f>$G$1965</f>
        <v>0</v>
      </c>
      <c r="H1993" s="509">
        <f>$H$1965</f>
        <v>0</v>
      </c>
      <c r="I1993" s="509">
        <f>$I$1965</f>
        <v>0</v>
      </c>
      <c r="J1993" s="508"/>
    </row>
    <row r="1994" spans="1:10" ht="21" customHeight="1">
      <c r="A1994" s="507" t="s">
        <v>1296</v>
      </c>
      <c r="B1994" s="508" t="s">
        <v>907</v>
      </c>
      <c r="C1994" s="508" t="s">
        <v>397</v>
      </c>
      <c r="D1994" s="509">
        <v>0.13800000000000001</v>
      </c>
      <c r="E1994" s="509">
        <v>0.13800000000000001</v>
      </c>
      <c r="F1994" s="509">
        <v>0.13800000000000001</v>
      </c>
      <c r="G1994" s="509">
        <v>0.13800000000000001</v>
      </c>
      <c r="H1994" s="509">
        <v>0.13800000000000001</v>
      </c>
      <c r="I1994" s="509">
        <f>'Cálculos Vega Baja'!P39</f>
        <v>0.13800000000000001</v>
      </c>
      <c r="J1994" s="508"/>
    </row>
    <row r="1995" spans="1:10" ht="21" customHeight="1">
      <c r="A1995" s="507" t="s">
        <v>1296</v>
      </c>
      <c r="B1995" s="508" t="s">
        <v>723</v>
      </c>
      <c r="C1995" s="508" t="s">
        <v>397</v>
      </c>
      <c r="D1995" s="509">
        <v>2000</v>
      </c>
      <c r="E1995" s="509">
        <v>2000</v>
      </c>
      <c r="F1995" s="509">
        <v>2000</v>
      </c>
      <c r="G1995" s="509">
        <v>2000</v>
      </c>
      <c r="H1995" s="509">
        <v>2000</v>
      </c>
      <c r="I1995" s="509">
        <f>'Cálculos Vega Baja'!H40</f>
        <v>2000</v>
      </c>
      <c r="J1995" s="508"/>
    </row>
    <row r="1996" spans="1:10" ht="21" customHeight="1">
      <c r="A1996" s="507" t="s">
        <v>1296</v>
      </c>
      <c r="B1996" s="508" t="s">
        <v>1307</v>
      </c>
      <c r="C1996" s="508" t="s">
        <v>397</v>
      </c>
      <c r="D1996" s="509">
        <v>2000</v>
      </c>
      <c r="E1996" s="509">
        <v>2000</v>
      </c>
      <c r="F1996" s="509">
        <v>2000</v>
      </c>
      <c r="G1996" s="509">
        <v>2000</v>
      </c>
      <c r="H1996" s="509">
        <v>2000</v>
      </c>
      <c r="I1996" s="509">
        <f>'Cálculos Vega Baja'!R40</f>
        <v>2000</v>
      </c>
      <c r="J1996" s="508"/>
    </row>
    <row r="1997" spans="1:10" ht="21" customHeight="1">
      <c r="A1997" s="507" t="s">
        <v>1296</v>
      </c>
      <c r="B1997" s="508" t="s">
        <v>519</v>
      </c>
      <c r="C1997" s="508" t="s">
        <v>411</v>
      </c>
      <c r="D1997" s="509">
        <f>($D$1989*$D$1990*$D$1991)/$D$1995</f>
        <v>0</v>
      </c>
      <c r="E1997" s="509">
        <f>($E$1989*$E$1990*$E$1991)/$E$1995</f>
        <v>0</v>
      </c>
      <c r="F1997" s="509">
        <f>($F$1989*$F$1990*$F$1991)/$F$1995</f>
        <v>0</v>
      </c>
      <c r="G1997" s="509">
        <f>($G$1989*$G$1990*$G$1991)/$G$1995</f>
        <v>0</v>
      </c>
      <c r="H1997" s="509">
        <f>($H$1989*$H$1990*$H$1991)/$H$1995</f>
        <v>0</v>
      </c>
      <c r="I1997" s="509">
        <f>($I$1989*$I$1990*$I$1991)/$I$1995</f>
        <v>0</v>
      </c>
      <c r="J1997" s="508"/>
    </row>
    <row r="1998" spans="1:10" ht="21" customHeight="1">
      <c r="A1998" s="507" t="s">
        <v>1296</v>
      </c>
      <c r="B1998" s="508" t="s">
        <v>1283</v>
      </c>
      <c r="C1998" s="508" t="s">
        <v>411</v>
      </c>
      <c r="D1998" s="509">
        <f>($D$1992*$D$1993*$D$1994)/$D$1996</f>
        <v>0</v>
      </c>
      <c r="E1998" s="509">
        <f>($E$1992*$E$1993*$E$1994)/$E$1996</f>
        <v>0</v>
      </c>
      <c r="F1998" s="509">
        <f>($F$1992*$F$1993*$F$1994)/$F$1996</f>
        <v>0</v>
      </c>
      <c r="G1998" s="509">
        <f>($G$1992*$G$1993*$G$1994)/$G$1996</f>
        <v>0</v>
      </c>
      <c r="H1998" s="509">
        <f>($H$1992*$H$1993*$H$1994)/$H$1996</f>
        <v>0</v>
      </c>
      <c r="I1998" s="509">
        <f>($I$1992*$I$1993*$I$1994)/$I$1996</f>
        <v>0</v>
      </c>
      <c r="J1998" s="508"/>
    </row>
    <row r="1999" spans="1:10" ht="21" customHeight="1">
      <c r="A1999" s="507" t="s">
        <v>1296</v>
      </c>
      <c r="B1999" s="508" t="s">
        <v>727</v>
      </c>
      <c r="C1999" s="508" t="s">
        <v>397</v>
      </c>
      <c r="D1999" s="509">
        <v>4.0999999999999999E-4</v>
      </c>
      <c r="E1999" s="509">
        <v>4.0999999999999999E-4</v>
      </c>
      <c r="F1999" s="509">
        <v>4.0999999999999999E-4</v>
      </c>
      <c r="G1999" s="509">
        <v>4.0999999999999999E-4</v>
      </c>
      <c r="H1999" s="509">
        <v>4.0999999999999999E-4</v>
      </c>
      <c r="I1999" s="509">
        <f>'Cálculos Vega Baja'!B49</f>
        <v>4.0999999999999999E-4</v>
      </c>
      <c r="J1999" s="508"/>
    </row>
    <row r="2000" spans="1:10" ht="21" customHeight="1">
      <c r="A2000" s="507" t="s">
        <v>1296</v>
      </c>
      <c r="B2000" s="508" t="s">
        <v>1308</v>
      </c>
      <c r="C2000" s="508" t="s">
        <v>411</v>
      </c>
      <c r="D2000" s="509">
        <f>$D$1964</f>
        <v>0</v>
      </c>
      <c r="E2000" s="509">
        <f>$E$1964</f>
        <v>0</v>
      </c>
      <c r="F2000" s="509">
        <f>$F$1964</f>
        <v>0</v>
      </c>
      <c r="G2000" s="509">
        <f>$G$1964</f>
        <v>0</v>
      </c>
      <c r="H2000" s="509">
        <f>$H$1964</f>
        <v>0</v>
      </c>
      <c r="I2000" s="509">
        <f>$I$1964</f>
        <v>0</v>
      </c>
      <c r="J2000" s="508"/>
    </row>
    <row r="2001" spans="1:10" ht="21" customHeight="1">
      <c r="A2001" s="507" t="s">
        <v>1296</v>
      </c>
      <c r="B2001" s="508" t="s">
        <v>728</v>
      </c>
      <c r="C2001" s="508" t="s">
        <v>397</v>
      </c>
      <c r="D2001" s="509">
        <v>0.13800000000000001</v>
      </c>
      <c r="E2001" s="509">
        <v>0.13800000000000001</v>
      </c>
      <c r="F2001" s="509">
        <v>0.13800000000000001</v>
      </c>
      <c r="G2001" s="509">
        <v>0.13800000000000001</v>
      </c>
      <c r="H2001" s="509">
        <v>0.13800000000000001</v>
      </c>
      <c r="I2001" s="509">
        <f>'Cálculos Vega Baja'!F49</f>
        <v>0.13800000000000001</v>
      </c>
      <c r="J2001" s="508"/>
    </row>
    <row r="2002" spans="1:10" ht="21" customHeight="1">
      <c r="A2002" s="507" t="s">
        <v>1296</v>
      </c>
      <c r="B2002" s="508" t="s">
        <v>1249</v>
      </c>
      <c r="C2002" s="508" t="s">
        <v>397</v>
      </c>
      <c r="D2002" s="509">
        <v>4.0999999999999999E-4</v>
      </c>
      <c r="E2002" s="509">
        <v>4.0999999999999999E-4</v>
      </c>
      <c r="F2002" s="509">
        <v>4.0999999999999999E-4</v>
      </c>
      <c r="G2002" s="509">
        <v>4.0999999999999999E-4</v>
      </c>
      <c r="H2002" s="509">
        <v>4.0999999999999999E-4</v>
      </c>
      <c r="I2002" s="509">
        <f>'Cálculos Vega Baja'!L49</f>
        <v>4.0999999999999999E-4</v>
      </c>
      <c r="J2002" s="508"/>
    </row>
    <row r="2003" spans="1:10" ht="21" customHeight="1">
      <c r="A2003" s="507" t="s">
        <v>1296</v>
      </c>
      <c r="B2003" s="508" t="s">
        <v>1309</v>
      </c>
      <c r="C2003" s="508" t="s">
        <v>411</v>
      </c>
      <c r="D2003" s="509">
        <f>$D$1965</f>
        <v>0</v>
      </c>
      <c r="E2003" s="509">
        <f>$E$1965</f>
        <v>0</v>
      </c>
      <c r="F2003" s="509">
        <f>$F$1965</f>
        <v>0</v>
      </c>
      <c r="G2003" s="509">
        <f>$G$1965</f>
        <v>0</v>
      </c>
      <c r="H2003" s="509">
        <f>$H$1965</f>
        <v>0</v>
      </c>
      <c r="I2003" s="509">
        <f>$I$1965</f>
        <v>0</v>
      </c>
      <c r="J2003" s="508"/>
    </row>
    <row r="2004" spans="1:10" ht="21" customHeight="1">
      <c r="A2004" s="507" t="s">
        <v>1296</v>
      </c>
      <c r="B2004" s="508" t="s">
        <v>912</v>
      </c>
      <c r="C2004" s="508" t="s">
        <v>397</v>
      </c>
      <c r="D2004" s="509">
        <v>0.13800000000000001</v>
      </c>
      <c r="E2004" s="509">
        <v>0.13800000000000001</v>
      </c>
      <c r="F2004" s="509">
        <v>0.13800000000000001</v>
      </c>
      <c r="G2004" s="509">
        <v>0.13800000000000001</v>
      </c>
      <c r="H2004" s="509">
        <v>0.13800000000000001</v>
      </c>
      <c r="I2004" s="509">
        <f>'Cálculos Vega Baja'!P49</f>
        <v>0.13800000000000001</v>
      </c>
      <c r="J2004" s="508"/>
    </row>
    <row r="2005" spans="1:10" ht="21" customHeight="1">
      <c r="A2005" s="507" t="s">
        <v>1296</v>
      </c>
      <c r="B2005" s="508" t="s">
        <v>630</v>
      </c>
      <c r="C2005" s="508" t="s">
        <v>397</v>
      </c>
      <c r="D2005" s="509">
        <v>2000</v>
      </c>
      <c r="E2005" s="509">
        <v>2000</v>
      </c>
      <c r="F2005" s="509">
        <v>2000</v>
      </c>
      <c r="G2005" s="509">
        <v>2000</v>
      </c>
      <c r="H2005" s="509">
        <v>2000</v>
      </c>
      <c r="I2005" s="509">
        <f>'Cálculos Vega Baja'!H50</f>
        <v>2000</v>
      </c>
      <c r="J2005" s="508"/>
    </row>
    <row r="2006" spans="1:10" ht="21" customHeight="1">
      <c r="A2006" s="507" t="s">
        <v>1296</v>
      </c>
      <c r="B2006" s="508" t="s">
        <v>633</v>
      </c>
      <c r="C2006" s="508" t="s">
        <v>397</v>
      </c>
      <c r="D2006" s="509">
        <v>2000</v>
      </c>
      <c r="E2006" s="509">
        <v>2000</v>
      </c>
      <c r="F2006" s="509">
        <v>2000</v>
      </c>
      <c r="G2006" s="509">
        <v>2000</v>
      </c>
      <c r="H2006" s="509">
        <v>2000</v>
      </c>
      <c r="I2006" s="509">
        <f>'Cálculos Vega Baja'!R50</f>
        <v>2000</v>
      </c>
      <c r="J2006" s="508"/>
    </row>
    <row r="2007" spans="1:10" ht="21" customHeight="1">
      <c r="A2007" s="507" t="s">
        <v>1296</v>
      </c>
      <c r="B2007" s="508" t="s">
        <v>634</v>
      </c>
      <c r="C2007" s="508" t="s">
        <v>411</v>
      </c>
      <c r="D2007" s="509">
        <f>($D$1999*$D$2000*$D$2001)/$D$2005</f>
        <v>0</v>
      </c>
      <c r="E2007" s="509">
        <f>($E$1999*$E$2000*$E$2001)/$E$2005</f>
        <v>0</v>
      </c>
      <c r="F2007" s="509">
        <f>($F$1999*$F$2000*$F$2001)/$F$2005</f>
        <v>0</v>
      </c>
      <c r="G2007" s="509">
        <f>($G$1999*$G$2000*$G$2001)/$G$2005</f>
        <v>0</v>
      </c>
      <c r="H2007" s="509">
        <f>($H$1999*$H$2000*$H$2001)/$H$2005</f>
        <v>0</v>
      </c>
      <c r="I2007" s="509">
        <f>($I$1999*$I$2000*$I$2001)/$I$2005</f>
        <v>0</v>
      </c>
      <c r="J2007" s="508"/>
    </row>
    <row r="2008" spans="1:10" ht="21" customHeight="1">
      <c r="A2008" s="507" t="s">
        <v>1296</v>
      </c>
      <c r="B2008" s="508" t="s">
        <v>1310</v>
      </c>
      <c r="C2008" s="508" t="s">
        <v>411</v>
      </c>
      <c r="D2008" s="509">
        <f>($D$2002*$D$2003*$D$2004)/$D$2006</f>
        <v>0</v>
      </c>
      <c r="E2008" s="509">
        <f>($E$2002*$E$2003*$E$2004)/$E$2006</f>
        <v>0</v>
      </c>
      <c r="F2008" s="509">
        <f>($F$2002*$F$2003*$F$2004)/$F$2006</f>
        <v>0</v>
      </c>
      <c r="G2008" s="509">
        <f>($G$2002*$G$2003*$G$2004)/$G$2006</f>
        <v>0</v>
      </c>
      <c r="H2008" s="509">
        <f>($H$2002*$H$2003*$H$2004)/$H$2006</f>
        <v>0</v>
      </c>
      <c r="I2008" s="509">
        <f>($I$2002*$I$2003*$I$2004)/$I$2006</f>
        <v>0</v>
      </c>
      <c r="J2008" s="508"/>
    </row>
    <row r="2009" spans="1:10" ht="21" customHeight="1">
      <c r="A2009" s="507" t="s">
        <v>1296</v>
      </c>
      <c r="B2009" s="508" t="s">
        <v>641</v>
      </c>
      <c r="C2009" s="508" t="s">
        <v>397</v>
      </c>
      <c r="D2009" s="509">
        <v>3.3E-3</v>
      </c>
      <c r="E2009" s="509">
        <v>3.3E-3</v>
      </c>
      <c r="F2009" s="509">
        <v>3.3E-3</v>
      </c>
      <c r="G2009" s="509">
        <v>3.3E-3</v>
      </c>
      <c r="H2009" s="509">
        <v>3.3E-3</v>
      </c>
      <c r="I2009" s="509">
        <f>'Cálculos Vega Baja'!B59</f>
        <v>3.3E-3</v>
      </c>
      <c r="J2009" s="508"/>
    </row>
    <row r="2010" spans="1:10" ht="21" customHeight="1">
      <c r="A2010" s="507" t="s">
        <v>1296</v>
      </c>
      <c r="B2010" s="508" t="s">
        <v>1250</v>
      </c>
      <c r="C2010" s="508" t="s">
        <v>411</v>
      </c>
      <c r="D2010" s="509">
        <f>$D$1964</f>
        <v>0</v>
      </c>
      <c r="E2010" s="509">
        <f>$E$1964</f>
        <v>0</v>
      </c>
      <c r="F2010" s="509">
        <f>$F$1964</f>
        <v>0</v>
      </c>
      <c r="G2010" s="509">
        <f>$G$1964</f>
        <v>0</v>
      </c>
      <c r="H2010" s="509">
        <f>$H$1964</f>
        <v>0</v>
      </c>
      <c r="I2010" s="509">
        <f>$I$1964</f>
        <v>0</v>
      </c>
      <c r="J2010" s="508"/>
    </row>
    <row r="2011" spans="1:10" ht="21" customHeight="1">
      <c r="A2011" s="507" t="s">
        <v>1296</v>
      </c>
      <c r="B2011" s="508" t="s">
        <v>849</v>
      </c>
      <c r="C2011" s="508" t="s">
        <v>397</v>
      </c>
      <c r="D2011" s="509">
        <v>0.13800000000000001</v>
      </c>
      <c r="E2011" s="509">
        <v>0.13800000000000001</v>
      </c>
      <c r="F2011" s="509">
        <v>0.13800000000000001</v>
      </c>
      <c r="G2011" s="509">
        <v>0.13800000000000001</v>
      </c>
      <c r="H2011" s="509">
        <v>0.13800000000000001</v>
      </c>
      <c r="I2011" s="509">
        <f>'Cálculos Vega Baja'!F59</f>
        <v>0.13800000000000001</v>
      </c>
      <c r="J2011" s="508"/>
    </row>
    <row r="2012" spans="1:10" ht="21" customHeight="1">
      <c r="A2012" s="507" t="s">
        <v>1296</v>
      </c>
      <c r="B2012" s="508" t="s">
        <v>1251</v>
      </c>
      <c r="C2012" s="508" t="s">
        <v>397</v>
      </c>
      <c r="D2012" s="509">
        <v>3.3E-3</v>
      </c>
      <c r="E2012" s="509">
        <v>3.3E-3</v>
      </c>
      <c r="F2012" s="509">
        <v>3.3E-3</v>
      </c>
      <c r="G2012" s="509">
        <v>3.3E-3</v>
      </c>
      <c r="H2012" s="509">
        <v>3.3E-3</v>
      </c>
      <c r="I2012" s="509">
        <f>'Cálculos Vega Baja'!L59</f>
        <v>3.3E-3</v>
      </c>
      <c r="J2012" s="508"/>
    </row>
    <row r="2013" spans="1:10" ht="21" customHeight="1">
      <c r="A2013" s="507" t="s">
        <v>1296</v>
      </c>
      <c r="B2013" s="508" t="s">
        <v>1252</v>
      </c>
      <c r="C2013" s="508" t="s">
        <v>411</v>
      </c>
      <c r="D2013" s="509">
        <f>$D$1965</f>
        <v>0</v>
      </c>
      <c r="E2013" s="509">
        <f>$E$1965</f>
        <v>0</v>
      </c>
      <c r="F2013" s="509">
        <f>$F$1965</f>
        <v>0</v>
      </c>
      <c r="G2013" s="509">
        <f>$G$1965</f>
        <v>0</v>
      </c>
      <c r="H2013" s="509">
        <f>$H$1965</f>
        <v>0</v>
      </c>
      <c r="I2013" s="509">
        <f>$I$1965</f>
        <v>0</v>
      </c>
      <c r="J2013" s="508"/>
    </row>
    <row r="2014" spans="1:10" ht="21" customHeight="1">
      <c r="A2014" s="507" t="s">
        <v>1296</v>
      </c>
      <c r="B2014" s="508" t="s">
        <v>917</v>
      </c>
      <c r="C2014" s="508" t="s">
        <v>397</v>
      </c>
      <c r="D2014" s="509">
        <v>0.13800000000000001</v>
      </c>
      <c r="E2014" s="509">
        <v>0.13800000000000001</v>
      </c>
      <c r="F2014" s="509">
        <v>0.13800000000000001</v>
      </c>
      <c r="G2014" s="509">
        <v>0.13800000000000001</v>
      </c>
      <c r="H2014" s="509">
        <v>0.13800000000000001</v>
      </c>
      <c r="I2014" s="509">
        <f>'Cálculos Vega Baja'!P59</f>
        <v>0.13800000000000001</v>
      </c>
      <c r="J2014" s="508"/>
    </row>
    <row r="2015" spans="1:10" ht="21" customHeight="1">
      <c r="A2015" s="507" t="s">
        <v>1296</v>
      </c>
      <c r="B2015" s="508" t="s">
        <v>1253</v>
      </c>
      <c r="C2015" s="508" t="s">
        <v>397</v>
      </c>
      <c r="D2015" s="509">
        <v>2000</v>
      </c>
      <c r="E2015" s="509">
        <v>2000</v>
      </c>
      <c r="F2015" s="509">
        <v>2000</v>
      </c>
      <c r="G2015" s="509">
        <v>2000</v>
      </c>
      <c r="H2015" s="509">
        <v>2000</v>
      </c>
      <c r="I2015" s="509">
        <f>'Cálculos Vega Baja'!H60</f>
        <v>2000</v>
      </c>
      <c r="J2015" s="508"/>
    </row>
    <row r="2016" spans="1:10" ht="21" customHeight="1">
      <c r="A2016" s="507" t="s">
        <v>1296</v>
      </c>
      <c r="B2016" s="508" t="s">
        <v>1254</v>
      </c>
      <c r="C2016" s="508" t="s">
        <v>397</v>
      </c>
      <c r="D2016" s="509">
        <v>2000</v>
      </c>
      <c r="E2016" s="509">
        <v>2000</v>
      </c>
      <c r="F2016" s="509">
        <v>2000</v>
      </c>
      <c r="G2016" s="509">
        <v>2000</v>
      </c>
      <c r="H2016" s="509">
        <v>2000</v>
      </c>
      <c r="I2016" s="509">
        <f>'Cálculos Vega Baja'!R60</f>
        <v>2000</v>
      </c>
      <c r="J2016" s="508"/>
    </row>
    <row r="2017" spans="1:10" ht="21" customHeight="1">
      <c r="A2017" s="507" t="s">
        <v>1296</v>
      </c>
      <c r="B2017" s="508" t="s">
        <v>583</v>
      </c>
      <c r="C2017" s="508" t="s">
        <v>411</v>
      </c>
      <c r="D2017" s="509">
        <f>($D$2009*$D$2010*$D$2011)/$D$2015</f>
        <v>0</v>
      </c>
      <c r="E2017" s="509">
        <f>($E$2009*$E$2010*$E$2011)/$E$2015</f>
        <v>0</v>
      </c>
      <c r="F2017" s="509">
        <f>($F$2009*$F$2010*$F$2011)/$F$2015</f>
        <v>0</v>
      </c>
      <c r="G2017" s="509">
        <f>($G$2009*$G$2010*$G$2011)/$G$2015</f>
        <v>0</v>
      </c>
      <c r="H2017" s="509">
        <f>($H$2009*$H$2010*$H$2011)/$H$2015</f>
        <v>0</v>
      </c>
      <c r="I2017" s="509">
        <f>($I$2009*$I$2010*$I$2011)/$I$2015</f>
        <v>0</v>
      </c>
      <c r="J2017" s="508"/>
    </row>
    <row r="2018" spans="1:10" ht="21" customHeight="1">
      <c r="A2018" s="507" t="s">
        <v>1296</v>
      </c>
      <c r="B2018" s="508" t="s">
        <v>1311</v>
      </c>
      <c r="C2018" s="508" t="s">
        <v>411</v>
      </c>
      <c r="D2018" s="509">
        <f>($D$2012*$D$2013*$D$2014)/$D$2016</f>
        <v>0</v>
      </c>
      <c r="E2018" s="509">
        <f>($E$2012*$E$2013*$E$2014)/$E$2016</f>
        <v>0</v>
      </c>
      <c r="F2018" s="509">
        <f>($F$2012*$F$2013*$F$2014)/$F$2016</f>
        <v>0</v>
      </c>
      <c r="G2018" s="509">
        <f>($G$2012*$G$2013*$G$2014)/$G$2016</f>
        <v>0</v>
      </c>
      <c r="H2018" s="509">
        <f>($H$2012*$H$2013*$H$2014)/$H$2016</f>
        <v>0</v>
      </c>
      <c r="I2018" s="509">
        <f>($I$2012*$I$2013*$I$2014)/$I$2016</f>
        <v>0</v>
      </c>
      <c r="J2018" s="508"/>
    </row>
    <row r="2019" spans="1:10" ht="21" customHeight="1">
      <c r="A2019" s="507" t="s">
        <v>1296</v>
      </c>
      <c r="B2019" s="508" t="s">
        <v>854</v>
      </c>
      <c r="C2019" s="508" t="s">
        <v>397</v>
      </c>
      <c r="D2019" s="509">
        <v>1.4E-5</v>
      </c>
      <c r="E2019" s="509">
        <v>1.4E-5</v>
      </c>
      <c r="F2019" s="509">
        <v>1.4E-5</v>
      </c>
      <c r="G2019" s="509">
        <v>1.4E-5</v>
      </c>
      <c r="H2019" s="509">
        <v>1.4E-5</v>
      </c>
      <c r="I2019" s="509">
        <f>'Cálculos Vega Baja'!B69</f>
        <v>1.4E-5</v>
      </c>
      <c r="J2019" s="508"/>
    </row>
    <row r="2020" spans="1:10" ht="21" customHeight="1">
      <c r="A2020" s="507" t="s">
        <v>1296</v>
      </c>
      <c r="B2020" s="508" t="s">
        <v>1312</v>
      </c>
      <c r="C2020" s="508" t="s">
        <v>411</v>
      </c>
      <c r="D2020" s="509">
        <f>$D$1964</f>
        <v>0</v>
      </c>
      <c r="E2020" s="509">
        <f>$E$1964</f>
        <v>0</v>
      </c>
      <c r="F2020" s="509">
        <f>$F$1964</f>
        <v>0</v>
      </c>
      <c r="G2020" s="509">
        <f>$G$1964</f>
        <v>0</v>
      </c>
      <c r="H2020" s="509">
        <f>$H$1964</f>
        <v>0</v>
      </c>
      <c r="I2020" s="509">
        <f>$I$1964</f>
        <v>0</v>
      </c>
      <c r="J2020" s="508"/>
    </row>
    <row r="2021" spans="1:10" ht="21" customHeight="1">
      <c r="A2021" s="507" t="s">
        <v>1296</v>
      </c>
      <c r="B2021" s="508" t="s">
        <v>855</v>
      </c>
      <c r="C2021" s="508" t="s">
        <v>397</v>
      </c>
      <c r="D2021" s="509">
        <v>0.13800000000000001</v>
      </c>
      <c r="E2021" s="509">
        <v>0.13800000000000001</v>
      </c>
      <c r="F2021" s="509">
        <v>0.13800000000000001</v>
      </c>
      <c r="G2021" s="509">
        <v>0.13800000000000001</v>
      </c>
      <c r="H2021" s="509">
        <v>0.13800000000000001</v>
      </c>
      <c r="I2021" s="509">
        <f>'Cálculos Vega Baja'!F69</f>
        <v>0.13800000000000001</v>
      </c>
      <c r="J2021" s="508"/>
    </row>
    <row r="2022" spans="1:10" ht="21" customHeight="1">
      <c r="A2022" s="507" t="s">
        <v>1296</v>
      </c>
      <c r="B2022" s="508" t="s">
        <v>1313</v>
      </c>
      <c r="C2022" s="508" t="s">
        <v>397</v>
      </c>
      <c r="D2022" s="509">
        <v>1.4E-5</v>
      </c>
      <c r="E2022" s="509">
        <v>1.4E-5</v>
      </c>
      <c r="F2022" s="509">
        <v>1.4E-5</v>
      </c>
      <c r="G2022" s="509">
        <v>1.4E-5</v>
      </c>
      <c r="H2022" s="509">
        <v>1.4E-5</v>
      </c>
      <c r="I2022" s="509">
        <f>'Cálculos Vega Baja'!L69</f>
        <v>1.4E-5</v>
      </c>
      <c r="J2022" s="508"/>
    </row>
    <row r="2023" spans="1:10" ht="21" customHeight="1">
      <c r="A2023" s="507" t="s">
        <v>1296</v>
      </c>
      <c r="B2023" s="508" t="s">
        <v>1314</v>
      </c>
      <c r="C2023" s="508" t="s">
        <v>411</v>
      </c>
      <c r="D2023" s="509">
        <f>$D$1965</f>
        <v>0</v>
      </c>
      <c r="E2023" s="509">
        <f>$E$1965</f>
        <v>0</v>
      </c>
      <c r="F2023" s="509">
        <f>$F$1965</f>
        <v>0</v>
      </c>
      <c r="G2023" s="509">
        <f>$G$1965</f>
        <v>0</v>
      </c>
      <c r="H2023" s="509">
        <f>$H$1965</f>
        <v>0</v>
      </c>
      <c r="I2023" s="509">
        <f>$I$1965</f>
        <v>0</v>
      </c>
      <c r="J2023" s="508"/>
    </row>
    <row r="2024" spans="1:10" ht="21" customHeight="1">
      <c r="A2024" s="507" t="s">
        <v>1296</v>
      </c>
      <c r="B2024" s="508" t="s">
        <v>922</v>
      </c>
      <c r="C2024" s="508" t="s">
        <v>397</v>
      </c>
      <c r="D2024" s="509">
        <v>0.13800000000000001</v>
      </c>
      <c r="E2024" s="509">
        <v>0.13800000000000001</v>
      </c>
      <c r="F2024" s="509">
        <v>0.13800000000000001</v>
      </c>
      <c r="G2024" s="509">
        <v>0.13800000000000001</v>
      </c>
      <c r="H2024" s="509">
        <v>0.13800000000000001</v>
      </c>
      <c r="I2024" s="509">
        <f>'Cálculos Vega Baja'!P69</f>
        <v>0.13800000000000001</v>
      </c>
      <c r="J2024" s="508"/>
    </row>
    <row r="2025" spans="1:10" ht="21" customHeight="1">
      <c r="A2025" s="507" t="s">
        <v>1296</v>
      </c>
      <c r="B2025" s="508" t="s">
        <v>1315</v>
      </c>
      <c r="C2025" s="508" t="s">
        <v>397</v>
      </c>
      <c r="D2025" s="509">
        <v>2000</v>
      </c>
      <c r="E2025" s="509">
        <v>2000</v>
      </c>
      <c r="F2025" s="509">
        <v>2000</v>
      </c>
      <c r="G2025" s="509">
        <v>2000</v>
      </c>
      <c r="H2025" s="509">
        <v>2000</v>
      </c>
      <c r="I2025" s="509">
        <f>'Cálculos Vega Baja'!H70</f>
        <v>2000</v>
      </c>
      <c r="J2025" s="508"/>
    </row>
    <row r="2026" spans="1:10" ht="21" customHeight="1">
      <c r="A2026" s="507" t="s">
        <v>1296</v>
      </c>
      <c r="B2026" s="508" t="s">
        <v>1316</v>
      </c>
      <c r="C2026" s="508" t="s">
        <v>397</v>
      </c>
      <c r="D2026" s="509">
        <v>2000</v>
      </c>
      <c r="E2026" s="509">
        <v>2000</v>
      </c>
      <c r="F2026" s="509">
        <v>2000</v>
      </c>
      <c r="G2026" s="509">
        <v>2000</v>
      </c>
      <c r="H2026" s="509">
        <v>2000</v>
      </c>
      <c r="I2026" s="509">
        <f>'Cálculos Vega Baja'!R70</f>
        <v>2000</v>
      </c>
      <c r="J2026" s="508"/>
    </row>
    <row r="2027" spans="1:10" ht="21" customHeight="1">
      <c r="A2027" s="507" t="s">
        <v>1296</v>
      </c>
      <c r="B2027" s="508" t="s">
        <v>736</v>
      </c>
      <c r="C2027" s="508" t="s">
        <v>411</v>
      </c>
      <c r="D2027" s="509">
        <f>($D$2019*$D$2020*$D$2021)/$D$2025</f>
        <v>0</v>
      </c>
      <c r="E2027" s="509">
        <f>($E$2019*$E$2020*$E$2021)/$E$2025</f>
        <v>0</v>
      </c>
      <c r="F2027" s="509">
        <f>($F$2019*$F$2020*$F$2021)/$F$2025</f>
        <v>0</v>
      </c>
      <c r="G2027" s="509">
        <f>($G$2019*$G$2020*$G$2021)/$G$2025</f>
        <v>0</v>
      </c>
      <c r="H2027" s="509">
        <f>($H$2019*$H$2020*$H$2021)/$H$2025</f>
        <v>0</v>
      </c>
      <c r="I2027" s="509">
        <f>($I$2019*$I$2020*$I$2021)/$I$2025</f>
        <v>0</v>
      </c>
      <c r="J2027" s="508"/>
    </row>
    <row r="2028" spans="1:10" ht="21" customHeight="1">
      <c r="A2028" s="507" t="s">
        <v>1296</v>
      </c>
      <c r="B2028" s="508" t="s">
        <v>1317</v>
      </c>
      <c r="C2028" s="508" t="s">
        <v>411</v>
      </c>
      <c r="D2028" s="509">
        <f>($D$2022*$D$2023*$D$2024)/$D$2026</f>
        <v>0</v>
      </c>
      <c r="E2028" s="509">
        <f>($E$2022*$E$2023*$E$2024)/$E$2026</f>
        <v>0</v>
      </c>
      <c r="F2028" s="509">
        <f>($F$2022*$F$2023*$F$2024)/$F$2026</f>
        <v>0</v>
      </c>
      <c r="G2028" s="509">
        <f>($G$2022*$G$2023*$G$2024)/$G$2026</f>
        <v>0</v>
      </c>
      <c r="H2028" s="509">
        <f>($H$2022*$H$2023*$H$2024)/$H$2026</f>
        <v>0</v>
      </c>
      <c r="I2028" s="509">
        <f>($I$2022*$I$2023*$I$2024)/$I$2026</f>
        <v>0</v>
      </c>
      <c r="J2028" s="508"/>
    </row>
    <row r="2029" spans="1:10" ht="21" customHeight="1">
      <c r="A2029" s="507" t="s">
        <v>1296</v>
      </c>
      <c r="B2029" s="508" t="s">
        <v>1318</v>
      </c>
      <c r="C2029" s="508" t="s">
        <v>411</v>
      </c>
      <c r="D2029" s="509">
        <f>$D$1968</f>
        <v>22.578420600240001</v>
      </c>
      <c r="E2029" s="509">
        <f>$E$1968</f>
        <v>22.578420600240001</v>
      </c>
      <c r="F2029" s="509">
        <f>$F$1968</f>
        <v>22.578420600240001</v>
      </c>
      <c r="G2029" s="509">
        <f>$G$1968</f>
        <v>22.578420600240001</v>
      </c>
      <c r="H2029" s="509">
        <f>$H$1968</f>
        <v>22.578420600240001</v>
      </c>
      <c r="I2029" s="509">
        <f>$I$1968</f>
        <v>22.578420600240001</v>
      </c>
      <c r="J2029" s="508"/>
    </row>
    <row r="2030" spans="1:10" ht="21" customHeight="1">
      <c r="A2030" s="507" t="s">
        <v>1296</v>
      </c>
      <c r="B2030" s="508" t="s">
        <v>1319</v>
      </c>
      <c r="C2030" s="508" t="s">
        <v>411</v>
      </c>
      <c r="D2030" s="509">
        <f>$D$2020</f>
        <v>0</v>
      </c>
      <c r="E2030" s="509">
        <f>$E$2020</f>
        <v>0</v>
      </c>
      <c r="F2030" s="509">
        <f>$F$2020</f>
        <v>0</v>
      </c>
      <c r="G2030" s="509">
        <f>$G$2020</f>
        <v>0</v>
      </c>
      <c r="H2030" s="509">
        <f>$H$2020</f>
        <v>0</v>
      </c>
      <c r="I2030" s="509">
        <f>$I$2020</f>
        <v>0</v>
      </c>
      <c r="J2030" s="508"/>
    </row>
    <row r="2031" spans="1:10" ht="21" customHeight="1">
      <c r="A2031" s="507" t="s">
        <v>1296</v>
      </c>
      <c r="B2031" s="508" t="s">
        <v>1320</v>
      </c>
      <c r="C2031" s="508" t="s">
        <v>411</v>
      </c>
      <c r="D2031" s="509">
        <f>$D$1968</f>
        <v>22.578420600240001</v>
      </c>
      <c r="E2031" s="509">
        <f>$E$1968</f>
        <v>22.578420600240001</v>
      </c>
      <c r="F2031" s="509">
        <f>$F$1968</f>
        <v>22.578420600240001</v>
      </c>
      <c r="G2031" s="509">
        <f>$G$1968</f>
        <v>22.578420600240001</v>
      </c>
      <c r="H2031" s="509">
        <f>$H$1968</f>
        <v>22.578420600240001</v>
      </c>
      <c r="I2031" s="509">
        <f>$I$1968</f>
        <v>22.578420600240001</v>
      </c>
      <c r="J2031" s="508"/>
    </row>
    <row r="2032" spans="1:10" ht="21" customHeight="1">
      <c r="A2032" s="507" t="s">
        <v>1296</v>
      </c>
      <c r="B2032" s="508" t="s">
        <v>1321</v>
      </c>
      <c r="C2032" s="508" t="s">
        <v>411</v>
      </c>
      <c r="D2032" s="509">
        <f>$D$2023</f>
        <v>0</v>
      </c>
      <c r="E2032" s="509">
        <f>$E$2023</f>
        <v>0</v>
      </c>
      <c r="F2032" s="509">
        <f>$F$2023</f>
        <v>0</v>
      </c>
      <c r="G2032" s="509">
        <f>$G$2023</f>
        <v>0</v>
      </c>
      <c r="H2032" s="509">
        <f>$H$2023</f>
        <v>0</v>
      </c>
      <c r="I2032" s="509">
        <f>$I$2023</f>
        <v>0</v>
      </c>
      <c r="J2032" s="508"/>
    </row>
    <row r="2033" spans="1:10" ht="21" customHeight="1">
      <c r="A2033" s="507" t="s">
        <v>1296</v>
      </c>
      <c r="B2033" s="508" t="s">
        <v>1322</v>
      </c>
      <c r="C2033" s="508" t="s">
        <v>397</v>
      </c>
      <c r="D2033" s="509">
        <v>2000</v>
      </c>
      <c r="E2033" s="509">
        <v>2000</v>
      </c>
      <c r="F2033" s="509">
        <v>2000</v>
      </c>
      <c r="G2033" s="509">
        <v>2000</v>
      </c>
      <c r="H2033" s="509">
        <v>2000</v>
      </c>
      <c r="I2033" s="509">
        <f>'Cálculos Vega Baja'!F80</f>
        <v>2000</v>
      </c>
      <c r="J2033" s="508"/>
    </row>
    <row r="2034" spans="1:10" ht="21" customHeight="1">
      <c r="A2034" s="507" t="s">
        <v>1296</v>
      </c>
      <c r="B2034" s="508" t="s">
        <v>1323</v>
      </c>
      <c r="C2034" s="508" t="s">
        <v>397</v>
      </c>
      <c r="D2034" s="509">
        <v>2000</v>
      </c>
      <c r="E2034" s="509">
        <v>2000</v>
      </c>
      <c r="F2034" s="509">
        <v>2000</v>
      </c>
      <c r="G2034" s="509">
        <v>2000</v>
      </c>
      <c r="H2034" s="509">
        <v>2000</v>
      </c>
      <c r="I2034" s="509">
        <f>'Cálculos Vega Baja'!P80</f>
        <v>2000</v>
      </c>
      <c r="J2034" s="508"/>
    </row>
    <row r="2035" spans="1:10" ht="21" customHeight="1">
      <c r="A2035" s="507" t="s">
        <v>1296</v>
      </c>
      <c r="B2035" s="508" t="s">
        <v>1324</v>
      </c>
      <c r="C2035" s="508" t="s">
        <v>411</v>
      </c>
      <c r="D2035" s="509">
        <f>$D$2029*$D$2030/$D$2033</f>
        <v>0</v>
      </c>
      <c r="E2035" s="509">
        <f>$E$2029*$E$2030/$E$2033</f>
        <v>0</v>
      </c>
      <c r="F2035" s="509">
        <f>$F$2029*$F$2030/$F$2033</f>
        <v>0</v>
      </c>
      <c r="G2035" s="509">
        <f>$G$2029*$G$2030/$G$2033</f>
        <v>0</v>
      </c>
      <c r="H2035" s="509">
        <f>$H$2029*$H$2030/$H$2033</f>
        <v>0</v>
      </c>
      <c r="I2035" s="509">
        <f>$I$2029*$I$2030/$I$2033</f>
        <v>0</v>
      </c>
      <c r="J2035" s="508"/>
    </row>
    <row r="2036" spans="1:10" ht="21" customHeight="1">
      <c r="A2036" s="507" t="s">
        <v>1296</v>
      </c>
      <c r="B2036" s="508" t="s">
        <v>1325</v>
      </c>
      <c r="C2036" s="508" t="s">
        <v>411</v>
      </c>
      <c r="D2036" s="509">
        <f>$D$2031*$D$2032/$D$2034</f>
        <v>0</v>
      </c>
      <c r="E2036" s="509">
        <f>$E$2031*$E$2032/$E$2034</f>
        <v>0</v>
      </c>
      <c r="F2036" s="509">
        <f>$F$2031*$F$2032/$F$2034</f>
        <v>0</v>
      </c>
      <c r="G2036" s="509">
        <f>$G$2031*$G$2032/$G$2034</f>
        <v>0</v>
      </c>
      <c r="H2036" s="509">
        <f>$H$2031*$H$2032/$H$2034</f>
        <v>0</v>
      </c>
      <c r="I2036" s="509">
        <f>$I$2031*$I$2032/$I$2034</f>
        <v>0</v>
      </c>
      <c r="J2036" s="508"/>
    </row>
    <row r="2037" spans="1:10" ht="21" customHeight="1">
      <c r="A2037" s="510" t="s">
        <v>1326</v>
      </c>
      <c r="B2037" s="506"/>
      <c r="C2037" s="506"/>
      <c r="D2037" s="511"/>
      <c r="E2037" s="511"/>
      <c r="F2037" s="511"/>
      <c r="G2037" s="511"/>
      <c r="H2037" s="511"/>
      <c r="I2037" s="512"/>
      <c r="J2037" s="506"/>
    </row>
    <row r="2038" spans="1:10" ht="21" customHeight="1">
      <c r="A2038" s="507" t="s">
        <v>1326</v>
      </c>
      <c r="B2038" s="508" t="s">
        <v>661</v>
      </c>
      <c r="C2038" s="508" t="s">
        <v>411</v>
      </c>
      <c r="D2038" s="509">
        <f>$D$1977+$D$1978</f>
        <v>0</v>
      </c>
      <c r="E2038" s="509">
        <f>$E$1977+$E$1978</f>
        <v>0</v>
      </c>
      <c r="F2038" s="509">
        <f>$F$1977+$F$1978</f>
        <v>0</v>
      </c>
      <c r="G2038" s="509">
        <f>$G$1977+$G$1978</f>
        <v>0</v>
      </c>
      <c r="H2038" s="509">
        <f>$H$1977+$H$1978</f>
        <v>0</v>
      </c>
      <c r="I2038" s="509">
        <f>$I$1977+$I$1978</f>
        <v>0</v>
      </c>
      <c r="J2038" s="508" t="s">
        <v>11</v>
      </c>
    </row>
    <row r="2039" spans="1:10" ht="21" customHeight="1">
      <c r="A2039" s="507" t="s">
        <v>1326</v>
      </c>
      <c r="B2039" s="508" t="s">
        <v>662</v>
      </c>
      <c r="C2039" s="508" t="s">
        <v>411</v>
      </c>
      <c r="D2039" s="509">
        <f>$D$1987+$D$1988</f>
        <v>0</v>
      </c>
      <c r="E2039" s="509">
        <f>$E$1987+$E$1988</f>
        <v>0</v>
      </c>
      <c r="F2039" s="509">
        <f>$F$1987+$F$1988</f>
        <v>0</v>
      </c>
      <c r="G2039" s="509">
        <f>$G$1987+$G$1988</f>
        <v>0</v>
      </c>
      <c r="H2039" s="509">
        <f>$H$1987+$H$1988</f>
        <v>0</v>
      </c>
      <c r="I2039" s="509">
        <f>$I$1987+$I$1988</f>
        <v>0</v>
      </c>
      <c r="J2039" s="508" t="s">
        <v>35</v>
      </c>
    </row>
    <row r="2040" spans="1:10" ht="21" customHeight="1">
      <c r="A2040" s="507" t="s">
        <v>1326</v>
      </c>
      <c r="B2040" s="508" t="s">
        <v>663</v>
      </c>
      <c r="C2040" s="508" t="s">
        <v>411</v>
      </c>
      <c r="D2040" s="509">
        <f>$D$1997+$D$1998</f>
        <v>0</v>
      </c>
      <c r="E2040" s="509">
        <f>$E$1997+$E$1998</f>
        <v>0</v>
      </c>
      <c r="F2040" s="509">
        <f>$F$1997+$F$1998</f>
        <v>0</v>
      </c>
      <c r="G2040" s="509">
        <f>$G$1997+$G$1998</f>
        <v>0</v>
      </c>
      <c r="H2040" s="509">
        <f>$H$1997+$H$1998</f>
        <v>0</v>
      </c>
      <c r="I2040" s="509">
        <f>$I$1997+$I$1998</f>
        <v>0</v>
      </c>
      <c r="J2040" s="508" t="s">
        <v>14</v>
      </c>
    </row>
    <row r="2041" spans="1:10" ht="21" customHeight="1">
      <c r="A2041" s="507" t="s">
        <v>1326</v>
      </c>
      <c r="B2041" s="508" t="s">
        <v>664</v>
      </c>
      <c r="C2041" s="508" t="s">
        <v>411</v>
      </c>
      <c r="D2041" s="509">
        <f>$D$2007+$D$2008</f>
        <v>0</v>
      </c>
      <c r="E2041" s="509">
        <f>$E$2007+$E$2008</f>
        <v>0</v>
      </c>
      <c r="F2041" s="509">
        <f>$F$2007+$F$2008</f>
        <v>0</v>
      </c>
      <c r="G2041" s="509">
        <f>$G$2007+$G$2008</f>
        <v>0</v>
      </c>
      <c r="H2041" s="509">
        <f>$H$2007+$H$2008</f>
        <v>0</v>
      </c>
      <c r="I2041" s="509">
        <f>$I$2007+$I$2008</f>
        <v>0</v>
      </c>
      <c r="J2041" s="508" t="s">
        <v>16</v>
      </c>
    </row>
    <row r="2042" spans="1:10" ht="21" customHeight="1">
      <c r="A2042" s="507" t="s">
        <v>1326</v>
      </c>
      <c r="B2042" s="508" t="s">
        <v>665</v>
      </c>
      <c r="C2042" s="508" t="s">
        <v>411</v>
      </c>
      <c r="D2042" s="509">
        <f>$D$2017+$D$2018</f>
        <v>0</v>
      </c>
      <c r="E2042" s="509">
        <f>$E$2017+$E$2018</f>
        <v>0</v>
      </c>
      <c r="F2042" s="509">
        <f>$F$2017+$F$2018</f>
        <v>0</v>
      </c>
      <c r="G2042" s="509">
        <f>$G$2017+$G$2018</f>
        <v>0</v>
      </c>
      <c r="H2042" s="509">
        <f>$H$2017+$H$2018</f>
        <v>0</v>
      </c>
      <c r="I2042" s="509">
        <f>$I$2017+$I$2018</f>
        <v>0</v>
      </c>
      <c r="J2042" s="508" t="s">
        <v>15</v>
      </c>
    </row>
    <row r="2043" spans="1:10" ht="21" customHeight="1">
      <c r="A2043" s="507" t="s">
        <v>1326</v>
      </c>
      <c r="B2043" s="508" t="s">
        <v>565</v>
      </c>
      <c r="C2043" s="508" t="s">
        <v>411</v>
      </c>
      <c r="D2043" s="509">
        <f>$D$2027+$D$2028</f>
        <v>0</v>
      </c>
      <c r="E2043" s="509">
        <f>$E$2027+$E$2028</f>
        <v>0</v>
      </c>
      <c r="F2043" s="509">
        <f>$F$2027+$F$2028</f>
        <v>0</v>
      </c>
      <c r="G2043" s="509">
        <f>$G$2027+$G$2028</f>
        <v>0</v>
      </c>
      <c r="H2043" s="509">
        <f>$H$2027+$H$2028</f>
        <v>0</v>
      </c>
      <c r="I2043" s="509">
        <f>$I$2027+$I$2028</f>
        <v>0</v>
      </c>
      <c r="J2043" s="508" t="s">
        <v>1268</v>
      </c>
    </row>
    <row r="2044" spans="1:10" ht="21" customHeight="1">
      <c r="A2044" s="507" t="s">
        <v>1326</v>
      </c>
      <c r="B2044" s="508" t="s">
        <v>666</v>
      </c>
      <c r="C2044" s="508" t="s">
        <v>411</v>
      </c>
      <c r="D2044" s="509">
        <f>$D$2035+$D$2036</f>
        <v>0</v>
      </c>
      <c r="E2044" s="509">
        <f>$E$2035+$E$2036</f>
        <v>0</v>
      </c>
      <c r="F2044" s="509">
        <f>$F$2035+$F$2036</f>
        <v>0</v>
      </c>
      <c r="G2044" s="509">
        <f>$G$2035+$G$2036</f>
        <v>0</v>
      </c>
      <c r="H2044" s="509">
        <f>$H$2035+$H$2036</f>
        <v>0</v>
      </c>
      <c r="I2044" s="509">
        <f>$I$2035+$I$2036</f>
        <v>0</v>
      </c>
      <c r="J2044" s="508" t="s">
        <v>671</v>
      </c>
    </row>
    <row r="2045" spans="1:10" ht="21" customHeight="1">
      <c r="A2045" s="510" t="s">
        <v>1327</v>
      </c>
      <c r="B2045" s="506"/>
      <c r="C2045" s="506"/>
      <c r="D2045" s="511"/>
      <c r="E2045" s="511"/>
      <c r="F2045" s="511"/>
      <c r="G2045" s="511"/>
      <c r="H2045" s="511"/>
      <c r="I2045" s="512"/>
      <c r="J2045" s="506"/>
    </row>
    <row r="2046" spans="1:10" ht="21" customHeight="1">
      <c r="A2046" s="507" t="s">
        <v>1327</v>
      </c>
      <c r="B2046" s="508" t="s">
        <v>407</v>
      </c>
      <c r="C2046" s="508" t="s">
        <v>397</v>
      </c>
      <c r="D2046" s="509">
        <v>1.01</v>
      </c>
      <c r="E2046" s="509">
        <v>1.01</v>
      </c>
      <c r="F2046" s="509">
        <v>1.01</v>
      </c>
      <c r="G2046" s="509">
        <v>1.01</v>
      </c>
      <c r="H2046" s="509">
        <v>1.01</v>
      </c>
      <c r="I2046" s="509">
        <f>'Cálculos Jobos'!B6</f>
        <v>1.01</v>
      </c>
      <c r="J2046" s="508" t="s">
        <v>35</v>
      </c>
    </row>
    <row r="2047" spans="1:10" ht="21" customHeight="1">
      <c r="A2047" s="507" t="s">
        <v>1327</v>
      </c>
      <c r="B2047" s="508" t="s">
        <v>418</v>
      </c>
      <c r="C2047" s="508" t="s">
        <v>397</v>
      </c>
      <c r="D2047" s="509">
        <v>1.01</v>
      </c>
      <c r="E2047" s="509">
        <v>1.01</v>
      </c>
      <c r="F2047" s="509">
        <v>1.01</v>
      </c>
      <c r="G2047" s="509">
        <v>1.01</v>
      </c>
      <c r="H2047" s="509">
        <v>1.01</v>
      </c>
      <c r="I2047" s="509">
        <f>'Cálculos Jobos'!L6</f>
        <v>1.01</v>
      </c>
      <c r="J2047" s="508" t="s">
        <v>35</v>
      </c>
    </row>
    <row r="2048" spans="1:10" ht="21" customHeight="1">
      <c r="A2048" s="507" t="s">
        <v>1327</v>
      </c>
      <c r="B2048" s="508" t="s">
        <v>469</v>
      </c>
      <c r="C2048" s="508" t="s">
        <v>411</v>
      </c>
      <c r="D2048" s="509">
        <f>$D$1338</f>
        <v>0</v>
      </c>
      <c r="E2048" s="509">
        <f>$E$1358</f>
        <v>0</v>
      </c>
      <c r="F2048" s="509">
        <f>$F$1378</f>
        <v>0</v>
      </c>
      <c r="G2048" s="509">
        <f>$G$1398</f>
        <v>0</v>
      </c>
      <c r="H2048" s="509">
        <f>$H$1418</f>
        <v>0</v>
      </c>
      <c r="I2048" s="509">
        <f>$I$1438</f>
        <v>0</v>
      </c>
      <c r="J2048" s="508" t="s">
        <v>318</v>
      </c>
    </row>
    <row r="2049" spans="1:10" ht="21" customHeight="1">
      <c r="A2049" s="507" t="s">
        <v>1327</v>
      </c>
      <c r="B2049" s="508" t="s">
        <v>1202</v>
      </c>
      <c r="C2049" s="508" t="s">
        <v>411</v>
      </c>
      <c r="D2049" s="509">
        <f>$D$1339</f>
        <v>0</v>
      </c>
      <c r="E2049" s="509">
        <f>$E$1359</f>
        <v>0</v>
      </c>
      <c r="F2049" s="509">
        <f>$F$1379</f>
        <v>68064</v>
      </c>
      <c r="G2049" s="509">
        <f>$G$1399</f>
        <v>148736</v>
      </c>
      <c r="H2049" s="509">
        <f>$H$1419</f>
        <v>173236</v>
      </c>
      <c r="I2049" s="509">
        <f>$I$1439</f>
        <v>344374</v>
      </c>
      <c r="J2049" s="508" t="s">
        <v>318</v>
      </c>
    </row>
    <row r="2050" spans="1:10" ht="21" customHeight="1">
      <c r="A2050" s="507" t="s">
        <v>1327</v>
      </c>
      <c r="B2050" s="508" t="s">
        <v>474</v>
      </c>
      <c r="C2050" s="508" t="s">
        <v>411</v>
      </c>
      <c r="D2050" s="509">
        <f>$D$1514</f>
        <v>1.0000000000000002E-3</v>
      </c>
      <c r="E2050" s="509">
        <f>$E$1362</f>
        <v>0.01</v>
      </c>
      <c r="F2050" s="509">
        <f>$F$1382</f>
        <v>0.01</v>
      </c>
      <c r="G2050" s="509">
        <f>$G$1402</f>
        <v>0.01</v>
      </c>
      <c r="H2050" s="509">
        <f>$H$1422</f>
        <v>0.01</v>
      </c>
      <c r="I2050" s="509">
        <f>$I$1442</f>
        <v>0.01</v>
      </c>
      <c r="J2050" s="508" t="s">
        <v>57</v>
      </c>
    </row>
    <row r="2051" spans="1:10" ht="21" customHeight="1">
      <c r="A2051" s="507" t="s">
        <v>1327</v>
      </c>
      <c r="B2051" s="508" t="s">
        <v>1207</v>
      </c>
      <c r="C2051" s="508" t="s">
        <v>411</v>
      </c>
      <c r="D2051" s="509">
        <f>$D$1515</f>
        <v>1.0000000000000002E-3</v>
      </c>
      <c r="E2051" s="509">
        <f>$E$1363</f>
        <v>0.01</v>
      </c>
      <c r="F2051" s="509">
        <f>$F$1383</f>
        <v>0.01</v>
      </c>
      <c r="G2051" s="509">
        <f>$G$1403</f>
        <v>0.01</v>
      </c>
      <c r="H2051" s="509">
        <f>$H$1423</f>
        <v>0.01</v>
      </c>
      <c r="I2051" s="509">
        <f>$I$1443</f>
        <v>0.01</v>
      </c>
      <c r="J2051" s="508" t="s">
        <v>57</v>
      </c>
    </row>
    <row r="2052" spans="1:10" ht="21" customHeight="1">
      <c r="A2052" s="507" t="s">
        <v>1327</v>
      </c>
      <c r="B2052" s="508" t="s">
        <v>896</v>
      </c>
      <c r="C2052" s="508" t="s">
        <v>411</v>
      </c>
      <c r="D2052" s="509">
        <f>(73.96+0.003*25+0.0006*298)*2.2046*0.138</f>
        <v>22.578420600240001</v>
      </c>
      <c r="E2052" s="509">
        <f>(73.96+0.003*25+0.0006*298)*2.2046*0.138</f>
        <v>22.578420600240001</v>
      </c>
      <c r="F2052" s="509">
        <f>(73.96+0.003*25+0.0006*298)*2.2046*0.138</f>
        <v>22.578420600240001</v>
      </c>
      <c r="G2052" s="509">
        <f>(73.96+0.003*25+0.0006*298)*2.2046*0.138</f>
        <v>22.578420600240001</v>
      </c>
      <c r="H2052" s="509">
        <f>(73.96+0.003*25+0.0006*298)*2.2046*0.138</f>
        <v>22.578420600240001</v>
      </c>
      <c r="I2052" s="509">
        <f>(73.96+0.003*25+0.0006*298)*2.2046*0.138</f>
        <v>22.578420600240001</v>
      </c>
      <c r="J2052" s="508" t="s">
        <v>57</v>
      </c>
    </row>
    <row r="2053" spans="1:10" ht="21" customHeight="1">
      <c r="A2053" s="507" t="s">
        <v>1327</v>
      </c>
      <c r="B2053" s="508" t="s">
        <v>566</v>
      </c>
      <c r="C2053" s="508" t="s">
        <v>397</v>
      </c>
      <c r="D2053" s="509">
        <v>1.2E-2</v>
      </c>
      <c r="E2053" s="509">
        <v>1.2E-2</v>
      </c>
      <c r="F2053" s="509">
        <v>1.2E-2</v>
      </c>
      <c r="G2053" s="509">
        <v>1.2E-2</v>
      </c>
      <c r="H2053" s="509">
        <v>1.2E-2</v>
      </c>
      <c r="I2053" s="509">
        <f>'Cálculos Jobos'!B19</f>
        <v>1.2E-2</v>
      </c>
      <c r="J2053" s="508"/>
    </row>
    <row r="2054" spans="1:10" ht="21" customHeight="1">
      <c r="A2054" s="507" t="s">
        <v>1327</v>
      </c>
      <c r="B2054" s="508" t="s">
        <v>666</v>
      </c>
      <c r="C2054" s="508" t="s">
        <v>411</v>
      </c>
      <c r="D2054" s="509">
        <f>$D$2048</f>
        <v>0</v>
      </c>
      <c r="E2054" s="509">
        <f>$E$2048</f>
        <v>0</v>
      </c>
      <c r="F2054" s="509">
        <f>$F$2048</f>
        <v>0</v>
      </c>
      <c r="G2054" s="509">
        <f>$G$2048</f>
        <v>0</v>
      </c>
      <c r="H2054" s="509">
        <f>$H$2048</f>
        <v>0</v>
      </c>
      <c r="I2054" s="509">
        <f>$I$2048</f>
        <v>0</v>
      </c>
      <c r="J2054" s="508"/>
    </row>
    <row r="2055" spans="1:10" ht="21" customHeight="1">
      <c r="A2055" s="507" t="s">
        <v>1327</v>
      </c>
      <c r="B2055" s="508" t="s">
        <v>567</v>
      </c>
      <c r="C2055" s="508" t="s">
        <v>397</v>
      </c>
      <c r="D2055" s="509">
        <v>0.13800000000000001</v>
      </c>
      <c r="E2055" s="509">
        <v>0.13800000000000001</v>
      </c>
      <c r="F2055" s="509">
        <v>0.13800000000000001</v>
      </c>
      <c r="G2055" s="509">
        <v>0.13800000000000001</v>
      </c>
      <c r="H2055" s="509">
        <v>0.13800000000000001</v>
      </c>
      <c r="I2055" s="509">
        <f>'Cálculos Jobos'!F19</f>
        <v>0.13800000000000001</v>
      </c>
      <c r="J2055" s="508"/>
    </row>
    <row r="2056" spans="1:10" ht="21" customHeight="1">
      <c r="A2056" s="507" t="s">
        <v>1327</v>
      </c>
      <c r="B2056" s="508" t="s">
        <v>1235</v>
      </c>
      <c r="C2056" s="508" t="s">
        <v>397</v>
      </c>
      <c r="D2056" s="509">
        <v>1.2E-2</v>
      </c>
      <c r="E2056" s="509">
        <v>1.2E-2</v>
      </c>
      <c r="F2056" s="509">
        <v>1.2E-2</v>
      </c>
      <c r="G2056" s="509">
        <v>1.2E-2</v>
      </c>
      <c r="H2056" s="509">
        <v>1.2E-2</v>
      </c>
      <c r="I2056" s="509">
        <f>'Cálculos Jobos'!L19</f>
        <v>1.2E-2</v>
      </c>
      <c r="J2056" s="508"/>
    </row>
    <row r="2057" spans="1:10" ht="21" customHeight="1">
      <c r="A2057" s="507" t="s">
        <v>1327</v>
      </c>
      <c r="B2057" s="508" t="s">
        <v>1236</v>
      </c>
      <c r="C2057" s="508" t="s">
        <v>411</v>
      </c>
      <c r="D2057" s="509">
        <f>$D$2049</f>
        <v>0</v>
      </c>
      <c r="E2057" s="509">
        <f>$E$2049</f>
        <v>0</v>
      </c>
      <c r="F2057" s="509">
        <f>$F$2049</f>
        <v>68064</v>
      </c>
      <c r="G2057" s="509">
        <f>$G$2049</f>
        <v>148736</v>
      </c>
      <c r="H2057" s="509">
        <f>$H$2049</f>
        <v>173236</v>
      </c>
      <c r="I2057" s="509">
        <f>$I$2049</f>
        <v>344374</v>
      </c>
      <c r="J2057" s="508"/>
    </row>
    <row r="2058" spans="1:10" ht="21" customHeight="1">
      <c r="A2058" s="507" t="s">
        <v>1327</v>
      </c>
      <c r="B2058" s="508" t="s">
        <v>900</v>
      </c>
      <c r="C2058" s="508" t="s">
        <v>397</v>
      </c>
      <c r="D2058" s="509">
        <v>0.13800000000000001</v>
      </c>
      <c r="E2058" s="509">
        <v>0.13800000000000001</v>
      </c>
      <c r="F2058" s="509">
        <v>0.13800000000000001</v>
      </c>
      <c r="G2058" s="509">
        <v>0.13800000000000001</v>
      </c>
      <c r="H2058" s="509">
        <v>0.13800000000000001</v>
      </c>
      <c r="I2058" s="509">
        <f>'Cálculos Jobos'!P19</f>
        <v>0.13800000000000001</v>
      </c>
      <c r="J2058" s="508"/>
    </row>
    <row r="2059" spans="1:10" ht="21" customHeight="1">
      <c r="A2059" s="507" t="s">
        <v>1327</v>
      </c>
      <c r="B2059" s="508" t="s">
        <v>600</v>
      </c>
      <c r="C2059" s="508" t="s">
        <v>397</v>
      </c>
      <c r="D2059" s="509">
        <v>2000</v>
      </c>
      <c r="E2059" s="509">
        <v>2000</v>
      </c>
      <c r="F2059" s="509">
        <v>2000</v>
      </c>
      <c r="G2059" s="509">
        <v>2000</v>
      </c>
      <c r="H2059" s="509">
        <v>2000</v>
      </c>
      <c r="I2059" s="509">
        <f>'Cálculos Jobos'!H20</f>
        <v>2000</v>
      </c>
      <c r="J2059" s="508"/>
    </row>
    <row r="2060" spans="1:10" ht="21" customHeight="1">
      <c r="A2060" s="507" t="s">
        <v>1327</v>
      </c>
      <c r="B2060" s="508" t="s">
        <v>603</v>
      </c>
      <c r="C2060" s="508" t="s">
        <v>397</v>
      </c>
      <c r="D2060" s="509">
        <v>2000</v>
      </c>
      <c r="E2060" s="509">
        <v>2000</v>
      </c>
      <c r="F2060" s="509">
        <v>2000</v>
      </c>
      <c r="G2060" s="509">
        <v>2000</v>
      </c>
      <c r="H2060" s="509">
        <v>2000</v>
      </c>
      <c r="I2060" s="509">
        <f>'Cálculos Jobos'!R20</f>
        <v>2000</v>
      </c>
      <c r="J2060" s="508"/>
    </row>
    <row r="2061" spans="1:10" ht="21" customHeight="1">
      <c r="A2061" s="507" t="s">
        <v>1327</v>
      </c>
      <c r="B2061" s="508" t="s">
        <v>604</v>
      </c>
      <c r="C2061" s="508" t="s">
        <v>411</v>
      </c>
      <c r="D2061" s="509">
        <f>($D$2053*$D$2054*$D$2055)/$D$2059</f>
        <v>0</v>
      </c>
      <c r="E2061" s="509">
        <f>($E$2053*$E$2054*$E$2055)/$E$2059</f>
        <v>0</v>
      </c>
      <c r="F2061" s="509">
        <f>($F$2053*$F$2054*$F$2055)/$F$2059</f>
        <v>0</v>
      </c>
      <c r="G2061" s="509">
        <f>($G$2053*$G$2054*$G$2055)/$G$2059</f>
        <v>0</v>
      </c>
      <c r="H2061" s="509">
        <f>($H$2053*$H$2054*$H$2055)/$H$2059</f>
        <v>0</v>
      </c>
      <c r="I2061" s="509">
        <f>($I$2053*$I$2054*$I$2055)/$I$2059</f>
        <v>0</v>
      </c>
      <c r="J2061" s="508"/>
    </row>
    <row r="2062" spans="1:10" ht="21" customHeight="1">
      <c r="A2062" s="507" t="s">
        <v>1327</v>
      </c>
      <c r="B2062" s="508" t="s">
        <v>766</v>
      </c>
      <c r="C2062" s="508" t="s">
        <v>411</v>
      </c>
      <c r="D2062" s="509">
        <f>($D$2056*$D$2057*$D$2058)/$D$2060</f>
        <v>0</v>
      </c>
      <c r="E2062" s="509">
        <f>($E$2056*$E$2057*$E$2058)/$E$2060</f>
        <v>0</v>
      </c>
      <c r="F2062" s="509">
        <f>($F$2056*$F$2057*$F$2058)/$F$2060</f>
        <v>5.6356992000000009E-2</v>
      </c>
      <c r="G2062" s="509">
        <f>($G$2056*$G$2057*$G$2058)/$G$2060</f>
        <v>0.12315340800000002</v>
      </c>
      <c r="H2062" s="509">
        <f>($H$2056*$H$2057*$H$2058)/$H$2060</f>
        <v>0.14343940800000002</v>
      </c>
      <c r="I2062" s="509">
        <f>($I$2056*$I$2057*$I$2058)/$I$2060</f>
        <v>0.28514167200000001</v>
      </c>
      <c r="J2062" s="508"/>
    </row>
    <row r="2063" spans="1:10" ht="21" customHeight="1">
      <c r="A2063" s="507" t="s">
        <v>1327</v>
      </c>
      <c r="B2063" s="508" t="s">
        <v>513</v>
      </c>
      <c r="C2063" s="508" t="s">
        <v>411</v>
      </c>
      <c r="D2063" s="509">
        <f>$D$2046*$D$2050</f>
        <v>1.0100000000000003E-3</v>
      </c>
      <c r="E2063" s="509">
        <f>$E$2046*$E$2050</f>
        <v>1.01E-2</v>
      </c>
      <c r="F2063" s="509">
        <f>$F$2046*$F$2050</f>
        <v>1.01E-2</v>
      </c>
      <c r="G2063" s="509">
        <f>$G$2046*$G$2050</f>
        <v>1.01E-2</v>
      </c>
      <c r="H2063" s="509">
        <f>$H$2046*$H$2050</f>
        <v>1.01E-2</v>
      </c>
      <c r="I2063" s="509">
        <f>$I$2046*$I$2050</f>
        <v>1.01E-2</v>
      </c>
      <c r="J2063" s="508"/>
    </row>
    <row r="2064" spans="1:10" ht="21" customHeight="1">
      <c r="A2064" s="507" t="s">
        <v>1327</v>
      </c>
      <c r="B2064" s="508" t="s">
        <v>515</v>
      </c>
      <c r="C2064" s="508" t="s">
        <v>411</v>
      </c>
      <c r="D2064" s="509">
        <f>$D$2048</f>
        <v>0</v>
      </c>
      <c r="E2064" s="509">
        <f>$E$2048</f>
        <v>0</v>
      </c>
      <c r="F2064" s="509">
        <f>$F$2048</f>
        <v>0</v>
      </c>
      <c r="G2064" s="509">
        <f>$G$2048</f>
        <v>0</v>
      </c>
      <c r="H2064" s="509">
        <f>$H$2048</f>
        <v>0</v>
      </c>
      <c r="I2064" s="509">
        <f>$I$2048</f>
        <v>0</v>
      </c>
      <c r="J2064" s="508"/>
    </row>
    <row r="2065" spans="1:10" ht="21" customHeight="1">
      <c r="A2065" s="507" t="s">
        <v>1327</v>
      </c>
      <c r="B2065" s="508" t="s">
        <v>833</v>
      </c>
      <c r="C2065" s="508" t="s">
        <v>397</v>
      </c>
      <c r="D2065" s="509">
        <v>0.13800000000000001</v>
      </c>
      <c r="E2065" s="509">
        <v>0.13800000000000001</v>
      </c>
      <c r="F2065" s="509">
        <v>0.13800000000000001</v>
      </c>
      <c r="G2065" s="509">
        <v>0.13800000000000001</v>
      </c>
      <c r="H2065" s="509">
        <v>0.13800000000000001</v>
      </c>
      <c r="I2065" s="509">
        <f>'Cálculos Jobos'!F29</f>
        <v>0.13800000000000001</v>
      </c>
      <c r="J2065" s="508"/>
    </row>
    <row r="2066" spans="1:10" ht="21" customHeight="1">
      <c r="A2066" s="507" t="s">
        <v>1327</v>
      </c>
      <c r="B2066" s="508" t="s">
        <v>1275</v>
      </c>
      <c r="C2066" s="508" t="s">
        <v>411</v>
      </c>
      <c r="D2066" s="509">
        <f>$D$2047*$D$2051</f>
        <v>1.0100000000000003E-3</v>
      </c>
      <c r="E2066" s="509">
        <f>$E$2047*$E$2051</f>
        <v>1.01E-2</v>
      </c>
      <c r="F2066" s="509">
        <f>$F$2047*$F$2051</f>
        <v>1.01E-2</v>
      </c>
      <c r="G2066" s="509">
        <f>$G$2047*$G$2051</f>
        <v>1.01E-2</v>
      </c>
      <c r="H2066" s="509">
        <f>$H$2047*$H$2051</f>
        <v>1.01E-2</v>
      </c>
      <c r="I2066" s="509">
        <f>$I$2047*$I$2051</f>
        <v>1.01E-2</v>
      </c>
      <c r="J2066" s="508"/>
    </row>
    <row r="2067" spans="1:10" ht="21" customHeight="1">
      <c r="A2067" s="507" t="s">
        <v>1327</v>
      </c>
      <c r="B2067" s="508" t="s">
        <v>1297</v>
      </c>
      <c r="C2067" s="508" t="s">
        <v>411</v>
      </c>
      <c r="D2067" s="509">
        <f>$D$2049</f>
        <v>0</v>
      </c>
      <c r="E2067" s="509">
        <f>$E$2049</f>
        <v>0</v>
      </c>
      <c r="F2067" s="509">
        <f>$F$2049</f>
        <v>68064</v>
      </c>
      <c r="G2067" s="509">
        <f>$G$2049</f>
        <v>148736</v>
      </c>
      <c r="H2067" s="509">
        <f>$H$2049</f>
        <v>173236</v>
      </c>
      <c r="I2067" s="509">
        <f>$I$2049</f>
        <v>344374</v>
      </c>
      <c r="J2067" s="508"/>
    </row>
    <row r="2068" spans="1:10" ht="21" customHeight="1">
      <c r="A2068" s="507" t="s">
        <v>1327</v>
      </c>
      <c r="B2068" s="508" t="s">
        <v>902</v>
      </c>
      <c r="C2068" s="508" t="s">
        <v>397</v>
      </c>
      <c r="D2068" s="509">
        <v>0.13800000000000001</v>
      </c>
      <c r="E2068" s="509">
        <v>0.13800000000000001</v>
      </c>
      <c r="F2068" s="509">
        <v>0.13800000000000001</v>
      </c>
      <c r="G2068" s="509">
        <v>0.13800000000000001</v>
      </c>
      <c r="H2068" s="509">
        <v>0.13800000000000001</v>
      </c>
      <c r="I2068" s="509">
        <f>'Cálculos Jobos'!P29</f>
        <v>0.13800000000000001</v>
      </c>
      <c r="J2068" s="508"/>
    </row>
    <row r="2069" spans="1:10" ht="21" customHeight="1">
      <c r="A2069" s="507" t="s">
        <v>1327</v>
      </c>
      <c r="B2069" s="508" t="s">
        <v>1298</v>
      </c>
      <c r="C2069" s="508" t="s">
        <v>397</v>
      </c>
      <c r="D2069" s="509">
        <v>2000</v>
      </c>
      <c r="E2069" s="509">
        <v>2000</v>
      </c>
      <c r="F2069" s="509">
        <v>2000</v>
      </c>
      <c r="G2069" s="509">
        <v>2000</v>
      </c>
      <c r="H2069" s="509">
        <v>2000</v>
      </c>
      <c r="I2069" s="509">
        <f>'Cálculos Jobos'!H30</f>
        <v>2000</v>
      </c>
      <c r="J2069" s="508"/>
    </row>
    <row r="2070" spans="1:10" ht="21" customHeight="1">
      <c r="A2070" s="507" t="s">
        <v>1327</v>
      </c>
      <c r="B2070" s="508" t="s">
        <v>1299</v>
      </c>
      <c r="C2070" s="508" t="s">
        <v>397</v>
      </c>
      <c r="D2070" s="509">
        <v>2000</v>
      </c>
      <c r="E2070" s="509">
        <v>2000</v>
      </c>
      <c r="F2070" s="509">
        <v>2000</v>
      </c>
      <c r="G2070" s="509">
        <v>2000</v>
      </c>
      <c r="H2070" s="509">
        <v>2000</v>
      </c>
      <c r="I2070" s="509">
        <f>'Cálculos Jobos'!R30</f>
        <v>2000</v>
      </c>
      <c r="J2070" s="508"/>
    </row>
    <row r="2071" spans="1:10" ht="21" customHeight="1">
      <c r="A2071" s="507" t="s">
        <v>1327</v>
      </c>
      <c r="B2071" s="508" t="s">
        <v>1300</v>
      </c>
      <c r="C2071" s="508" t="s">
        <v>411</v>
      </c>
      <c r="D2071" s="509">
        <f>($D$2063*$D$2064*$D$2065)/$D$2069</f>
        <v>0</v>
      </c>
      <c r="E2071" s="509">
        <f>($E$2063*$E$2064*$E$2065)/$E$2069</f>
        <v>0</v>
      </c>
      <c r="F2071" s="509">
        <f>($F$2063*$F$2064*$F$2065)/$F$2069</f>
        <v>0</v>
      </c>
      <c r="G2071" s="509">
        <f>($G$2063*$G$2064*$G$2065)/$G$2069</f>
        <v>0</v>
      </c>
      <c r="H2071" s="509">
        <f>($H$2063*$H$2064*$H$2065)/$H$2069</f>
        <v>0</v>
      </c>
      <c r="I2071" s="509">
        <f>($I$2063*$I$2064*$I$2065)/$I$2069</f>
        <v>0</v>
      </c>
      <c r="J2071" s="508"/>
    </row>
    <row r="2072" spans="1:10" ht="21" customHeight="1">
      <c r="A2072" s="507" t="s">
        <v>1327</v>
      </c>
      <c r="B2072" s="508" t="s">
        <v>1301</v>
      </c>
      <c r="C2072" s="508" t="s">
        <v>411</v>
      </c>
      <c r="D2072" s="509">
        <f>($D$2066*$D$2067*$D$2068)/$D$2070</f>
        <v>0</v>
      </c>
      <c r="E2072" s="509">
        <f>($E$2066*$E$2067*$E$2068)/$E$2070</f>
        <v>0</v>
      </c>
      <c r="F2072" s="509">
        <f>($F$2066*$F$2067*$F$2068)/$F$2070</f>
        <v>4.7433801599999999E-2</v>
      </c>
      <c r="G2072" s="509">
        <f>($G$2066*$G$2067*$G$2068)/$G$2070</f>
        <v>0.10365411840000002</v>
      </c>
      <c r="H2072" s="509">
        <f>($H$2066*$H$2067*$H$2068)/$H$2070</f>
        <v>0.1207281684</v>
      </c>
      <c r="I2072" s="509">
        <f>($I$2066*$I$2067*$I$2068)/$I$2070</f>
        <v>0.23999424060000002</v>
      </c>
      <c r="J2072" s="508"/>
    </row>
    <row r="2073" spans="1:10" ht="21" customHeight="1">
      <c r="A2073" s="507" t="s">
        <v>1327</v>
      </c>
      <c r="B2073" s="508" t="s">
        <v>1302</v>
      </c>
      <c r="C2073" s="508" t="s">
        <v>397</v>
      </c>
      <c r="D2073" s="509">
        <v>0.88</v>
      </c>
      <c r="E2073" s="509">
        <v>0.88</v>
      </c>
      <c r="F2073" s="509">
        <v>0.88</v>
      </c>
      <c r="G2073" s="509">
        <v>0.88</v>
      </c>
      <c r="H2073" s="509">
        <v>0.88</v>
      </c>
      <c r="I2073" s="509">
        <f>'Cálculos Jobos'!B39</f>
        <v>0.88</v>
      </c>
      <c r="J2073" s="508"/>
    </row>
    <row r="2074" spans="1:10" ht="21" customHeight="1">
      <c r="A2074" s="507" t="s">
        <v>1327</v>
      </c>
      <c r="B2074" s="508" t="s">
        <v>1303</v>
      </c>
      <c r="C2074" s="508" t="s">
        <v>411</v>
      </c>
      <c r="D2074" s="509">
        <f>$D$2048</f>
        <v>0</v>
      </c>
      <c r="E2074" s="509">
        <f>$E$2048</f>
        <v>0</v>
      </c>
      <c r="F2074" s="509">
        <f>$F$2048</f>
        <v>0</v>
      </c>
      <c r="G2074" s="509">
        <f>$G$2048</f>
        <v>0</v>
      </c>
      <c r="H2074" s="509">
        <f>$H$2048</f>
        <v>0</v>
      </c>
      <c r="I2074" s="509">
        <f>$I$2048</f>
        <v>0</v>
      </c>
      <c r="J2074" s="508"/>
    </row>
    <row r="2075" spans="1:10" ht="21" customHeight="1">
      <c r="A2075" s="507" t="s">
        <v>1327</v>
      </c>
      <c r="B2075" s="508" t="s">
        <v>1304</v>
      </c>
      <c r="C2075" s="508" t="s">
        <v>397</v>
      </c>
      <c r="D2075" s="509">
        <v>0.13800000000000001</v>
      </c>
      <c r="E2075" s="509">
        <v>0.13800000000000001</v>
      </c>
      <c r="F2075" s="509">
        <v>0.13800000000000001</v>
      </c>
      <c r="G2075" s="509">
        <v>0.13800000000000001</v>
      </c>
      <c r="H2075" s="509">
        <v>0.13800000000000001</v>
      </c>
      <c r="I2075" s="509">
        <f>'Cálculos Jobos'!F39</f>
        <v>0.13800000000000001</v>
      </c>
      <c r="J2075" s="508"/>
    </row>
    <row r="2076" spans="1:10" ht="21" customHeight="1">
      <c r="A2076" s="507" t="s">
        <v>1327</v>
      </c>
      <c r="B2076" s="508" t="s">
        <v>1305</v>
      </c>
      <c r="C2076" s="508" t="s">
        <v>397</v>
      </c>
      <c r="D2076" s="509">
        <v>0.88</v>
      </c>
      <c r="E2076" s="509">
        <v>0.88</v>
      </c>
      <c r="F2076" s="509">
        <v>0.88</v>
      </c>
      <c r="G2076" s="509">
        <v>0.88</v>
      </c>
      <c r="H2076" s="509">
        <v>0.88</v>
      </c>
      <c r="I2076" s="509">
        <f>'Cálculos Jobos'!L39</f>
        <v>0.88</v>
      </c>
      <c r="J2076" s="508"/>
    </row>
    <row r="2077" spans="1:10" ht="21" customHeight="1">
      <c r="A2077" s="507" t="s">
        <v>1327</v>
      </c>
      <c r="B2077" s="508" t="s">
        <v>1306</v>
      </c>
      <c r="C2077" s="508" t="s">
        <v>411</v>
      </c>
      <c r="D2077" s="509">
        <f>$D$2049</f>
        <v>0</v>
      </c>
      <c r="E2077" s="509">
        <f>$E$2049</f>
        <v>0</v>
      </c>
      <c r="F2077" s="509">
        <f>$F$2049</f>
        <v>68064</v>
      </c>
      <c r="G2077" s="509">
        <f>$G$2049</f>
        <v>148736</v>
      </c>
      <c r="H2077" s="509">
        <f>$H$2049</f>
        <v>173236</v>
      </c>
      <c r="I2077" s="509">
        <f>$I$2049</f>
        <v>344374</v>
      </c>
      <c r="J2077" s="508"/>
    </row>
    <row r="2078" spans="1:10" ht="21" customHeight="1">
      <c r="A2078" s="507" t="s">
        <v>1327</v>
      </c>
      <c r="B2078" s="508" t="s">
        <v>907</v>
      </c>
      <c r="C2078" s="508" t="s">
        <v>397</v>
      </c>
      <c r="D2078" s="509">
        <v>0.13800000000000001</v>
      </c>
      <c r="E2078" s="509">
        <v>0.13800000000000001</v>
      </c>
      <c r="F2078" s="509">
        <v>0.13800000000000001</v>
      </c>
      <c r="G2078" s="509">
        <v>0.13800000000000001</v>
      </c>
      <c r="H2078" s="509">
        <v>0.13800000000000001</v>
      </c>
      <c r="I2078" s="509">
        <f>'Cálculos Jobos'!P39</f>
        <v>0.13800000000000001</v>
      </c>
      <c r="J2078" s="508"/>
    </row>
    <row r="2079" spans="1:10" ht="21" customHeight="1">
      <c r="A2079" s="507" t="s">
        <v>1327</v>
      </c>
      <c r="B2079" s="508" t="s">
        <v>723</v>
      </c>
      <c r="C2079" s="508" t="s">
        <v>397</v>
      </c>
      <c r="D2079" s="509">
        <v>2000</v>
      </c>
      <c r="E2079" s="509">
        <v>2000</v>
      </c>
      <c r="F2079" s="509">
        <v>2000</v>
      </c>
      <c r="G2079" s="509">
        <v>2000</v>
      </c>
      <c r="H2079" s="509">
        <v>2000</v>
      </c>
      <c r="I2079" s="509">
        <f>'Cálculos Jobos'!H40</f>
        <v>2000</v>
      </c>
      <c r="J2079" s="508"/>
    </row>
    <row r="2080" spans="1:10" ht="21" customHeight="1">
      <c r="A2080" s="507" t="s">
        <v>1327</v>
      </c>
      <c r="B2080" s="508" t="s">
        <v>1307</v>
      </c>
      <c r="C2080" s="508" t="s">
        <v>397</v>
      </c>
      <c r="D2080" s="509">
        <v>2000</v>
      </c>
      <c r="E2080" s="509">
        <v>2000</v>
      </c>
      <c r="F2080" s="509">
        <v>2000</v>
      </c>
      <c r="G2080" s="509">
        <v>2000</v>
      </c>
      <c r="H2080" s="509">
        <v>2000</v>
      </c>
      <c r="I2080" s="509">
        <f>'Cálculos Jobos'!R40</f>
        <v>2000</v>
      </c>
      <c r="J2080" s="508"/>
    </row>
    <row r="2081" spans="1:10" ht="21" customHeight="1">
      <c r="A2081" s="507" t="s">
        <v>1327</v>
      </c>
      <c r="B2081" s="508" t="s">
        <v>519</v>
      </c>
      <c r="C2081" s="508" t="s">
        <v>411</v>
      </c>
      <c r="D2081" s="509">
        <f>($D$2073*$D$2074*$D$2075)/$D$2079</f>
        <v>0</v>
      </c>
      <c r="E2081" s="509">
        <f>($E$2073*$E$2074*$E$2075)/$E$2079</f>
        <v>0</v>
      </c>
      <c r="F2081" s="509">
        <f>($F$2073*$F$2074*$F$2075)/$F$2079</f>
        <v>0</v>
      </c>
      <c r="G2081" s="509">
        <f>($G$2073*$G$2074*$G$2075)/$G$2079</f>
        <v>0</v>
      </c>
      <c r="H2081" s="509">
        <f>($H$2073*$H$2074*$H$2075)/$H$2079</f>
        <v>0</v>
      </c>
      <c r="I2081" s="509">
        <f>($I$2073*$I$2074*$I$2075)/$I$2079</f>
        <v>0</v>
      </c>
      <c r="J2081" s="508"/>
    </row>
    <row r="2082" spans="1:10" ht="21" customHeight="1">
      <c r="A2082" s="507" t="s">
        <v>1327</v>
      </c>
      <c r="B2082" s="508" t="s">
        <v>1283</v>
      </c>
      <c r="C2082" s="508" t="s">
        <v>411</v>
      </c>
      <c r="D2082" s="509">
        <f>($D$2076*$D$2077*$D$2078)/$D$2080</f>
        <v>0</v>
      </c>
      <c r="E2082" s="509">
        <f>($E$2076*$E$2077*$E$2078)/$E$2080</f>
        <v>0</v>
      </c>
      <c r="F2082" s="509">
        <f>($F$2076*$F$2077*$F$2078)/$F$2080</f>
        <v>4.1328460800000002</v>
      </c>
      <c r="G2082" s="509">
        <f>($G$2076*$G$2077*$G$2078)/$G$2080</f>
        <v>9.0312499200000023</v>
      </c>
      <c r="H2082" s="509">
        <f>($H$2076*$H$2077*$H$2078)/$H$2080</f>
        <v>10.518889919999999</v>
      </c>
      <c r="I2082" s="509">
        <f>($I$2076*$I$2077*$I$2078)/$I$2080</f>
        <v>20.910389280000004</v>
      </c>
      <c r="J2082" s="508"/>
    </row>
    <row r="2083" spans="1:10" ht="21" customHeight="1">
      <c r="A2083" s="507" t="s">
        <v>1327</v>
      </c>
      <c r="B2083" s="508" t="s">
        <v>727</v>
      </c>
      <c r="C2083" s="508" t="s">
        <v>397</v>
      </c>
      <c r="D2083" s="509">
        <v>4.0999999999999999E-4</v>
      </c>
      <c r="E2083" s="509">
        <v>4.0999999999999999E-4</v>
      </c>
      <c r="F2083" s="509">
        <v>4.0999999999999999E-4</v>
      </c>
      <c r="G2083" s="509">
        <v>4.0999999999999999E-4</v>
      </c>
      <c r="H2083" s="509">
        <v>4.0999999999999999E-4</v>
      </c>
      <c r="I2083" s="509">
        <f>'Cálculos Jobos'!B49</f>
        <v>4.0999999999999999E-4</v>
      </c>
      <c r="J2083" s="508"/>
    </row>
    <row r="2084" spans="1:10" ht="21" customHeight="1">
      <c r="A2084" s="507" t="s">
        <v>1327</v>
      </c>
      <c r="B2084" s="508" t="s">
        <v>1308</v>
      </c>
      <c r="C2084" s="508" t="s">
        <v>411</v>
      </c>
      <c r="D2084" s="509">
        <f>$D$2048</f>
        <v>0</v>
      </c>
      <c r="E2084" s="509">
        <f>$E$2048</f>
        <v>0</v>
      </c>
      <c r="F2084" s="509">
        <f>$F$2048</f>
        <v>0</v>
      </c>
      <c r="G2084" s="509">
        <f>$G$2048</f>
        <v>0</v>
      </c>
      <c r="H2084" s="509">
        <f>$H$2048</f>
        <v>0</v>
      </c>
      <c r="I2084" s="509">
        <f>$I$2048</f>
        <v>0</v>
      </c>
      <c r="J2084" s="508"/>
    </row>
    <row r="2085" spans="1:10" ht="21" customHeight="1">
      <c r="A2085" s="507" t="s">
        <v>1327</v>
      </c>
      <c r="B2085" s="508" t="s">
        <v>728</v>
      </c>
      <c r="C2085" s="508" t="s">
        <v>397</v>
      </c>
      <c r="D2085" s="509">
        <v>0.13800000000000001</v>
      </c>
      <c r="E2085" s="509">
        <v>0.13800000000000001</v>
      </c>
      <c r="F2085" s="509">
        <v>0.13800000000000001</v>
      </c>
      <c r="G2085" s="509">
        <v>0.13800000000000001</v>
      </c>
      <c r="H2085" s="509">
        <v>0.13800000000000001</v>
      </c>
      <c r="I2085" s="509">
        <f>'Cálculos Jobos'!F49</f>
        <v>0.13800000000000001</v>
      </c>
      <c r="J2085" s="508"/>
    </row>
    <row r="2086" spans="1:10" ht="21" customHeight="1">
      <c r="A2086" s="507" t="s">
        <v>1327</v>
      </c>
      <c r="B2086" s="508" t="s">
        <v>1249</v>
      </c>
      <c r="C2086" s="508" t="s">
        <v>397</v>
      </c>
      <c r="D2086" s="509">
        <v>4.0999999999999999E-4</v>
      </c>
      <c r="E2086" s="509">
        <v>4.0999999999999999E-4</v>
      </c>
      <c r="F2086" s="509">
        <v>4.0999999999999999E-4</v>
      </c>
      <c r="G2086" s="509">
        <v>4.0999999999999999E-4</v>
      </c>
      <c r="H2086" s="509">
        <v>4.0999999999999999E-4</v>
      </c>
      <c r="I2086" s="509">
        <f>'Cálculos Jobos'!L49</f>
        <v>4.0999999999999999E-4</v>
      </c>
      <c r="J2086" s="508"/>
    </row>
    <row r="2087" spans="1:10" ht="21" customHeight="1">
      <c r="A2087" s="507" t="s">
        <v>1327</v>
      </c>
      <c r="B2087" s="508" t="s">
        <v>1309</v>
      </c>
      <c r="C2087" s="508" t="s">
        <v>411</v>
      </c>
      <c r="D2087" s="509">
        <f>$D$2049</f>
        <v>0</v>
      </c>
      <c r="E2087" s="509">
        <f>$E$2049</f>
        <v>0</v>
      </c>
      <c r="F2087" s="509">
        <f>$F$2049</f>
        <v>68064</v>
      </c>
      <c r="G2087" s="509">
        <f>$G$2049</f>
        <v>148736</v>
      </c>
      <c r="H2087" s="509">
        <f>$H$2049</f>
        <v>173236</v>
      </c>
      <c r="I2087" s="509">
        <f>$I$2049</f>
        <v>344374</v>
      </c>
      <c r="J2087" s="508"/>
    </row>
    <row r="2088" spans="1:10" ht="21" customHeight="1">
      <c r="A2088" s="507" t="s">
        <v>1327</v>
      </c>
      <c r="B2088" s="508" t="s">
        <v>912</v>
      </c>
      <c r="C2088" s="508" t="s">
        <v>397</v>
      </c>
      <c r="D2088" s="509">
        <v>0.13800000000000001</v>
      </c>
      <c r="E2088" s="509">
        <v>0.13800000000000001</v>
      </c>
      <c r="F2088" s="509">
        <v>0.13800000000000001</v>
      </c>
      <c r="G2088" s="509">
        <v>0.13800000000000001</v>
      </c>
      <c r="H2088" s="509">
        <v>0.13800000000000001</v>
      </c>
      <c r="I2088" s="509">
        <f>'Cálculos Jobos'!P49</f>
        <v>0.13800000000000001</v>
      </c>
      <c r="J2088" s="508"/>
    </row>
    <row r="2089" spans="1:10" ht="21" customHeight="1">
      <c r="A2089" s="507" t="s">
        <v>1327</v>
      </c>
      <c r="B2089" s="508" t="s">
        <v>630</v>
      </c>
      <c r="C2089" s="508" t="s">
        <v>397</v>
      </c>
      <c r="D2089" s="509">
        <v>2000</v>
      </c>
      <c r="E2089" s="509">
        <v>2000</v>
      </c>
      <c r="F2089" s="509">
        <v>2000</v>
      </c>
      <c r="G2089" s="509">
        <v>2000</v>
      </c>
      <c r="H2089" s="509">
        <v>2000</v>
      </c>
      <c r="I2089" s="509">
        <f>'Cálculos Jobos'!H50</f>
        <v>2000</v>
      </c>
      <c r="J2089" s="508"/>
    </row>
    <row r="2090" spans="1:10" ht="21" customHeight="1">
      <c r="A2090" s="507" t="s">
        <v>1327</v>
      </c>
      <c r="B2090" s="508" t="s">
        <v>633</v>
      </c>
      <c r="C2090" s="508" t="s">
        <v>397</v>
      </c>
      <c r="D2090" s="509">
        <v>2000</v>
      </c>
      <c r="E2090" s="509">
        <v>2000</v>
      </c>
      <c r="F2090" s="509">
        <v>2000</v>
      </c>
      <c r="G2090" s="509">
        <v>2000</v>
      </c>
      <c r="H2090" s="509">
        <v>2000</v>
      </c>
      <c r="I2090" s="509">
        <f>'Cálculos Jobos'!R50</f>
        <v>2000</v>
      </c>
      <c r="J2090" s="508"/>
    </row>
    <row r="2091" spans="1:10" ht="21" customHeight="1">
      <c r="A2091" s="507" t="s">
        <v>1327</v>
      </c>
      <c r="B2091" s="508" t="s">
        <v>634</v>
      </c>
      <c r="C2091" s="508" t="s">
        <v>411</v>
      </c>
      <c r="D2091" s="509">
        <f>($D$2083*$D$2084*$D$2085)/$D$2089</f>
        <v>0</v>
      </c>
      <c r="E2091" s="509">
        <f>($E$2083*$E$2084*$E$2085)/$E$2089</f>
        <v>0</v>
      </c>
      <c r="F2091" s="509">
        <f>($F$2083*$F$2084*$F$2085)/$F$2089</f>
        <v>0</v>
      </c>
      <c r="G2091" s="509">
        <f>($G$2083*$G$2084*$G$2085)/$G$2089</f>
        <v>0</v>
      </c>
      <c r="H2091" s="509">
        <f>($H$2083*$H$2084*$H$2085)/$H$2089</f>
        <v>0</v>
      </c>
      <c r="I2091" s="509">
        <f>($I$2083*$I$2084*$I$2085)/$I$2089</f>
        <v>0</v>
      </c>
      <c r="J2091" s="508"/>
    </row>
    <row r="2092" spans="1:10" ht="21" customHeight="1">
      <c r="A2092" s="507" t="s">
        <v>1327</v>
      </c>
      <c r="B2092" s="508" t="s">
        <v>1310</v>
      </c>
      <c r="C2092" s="508" t="s">
        <v>411</v>
      </c>
      <c r="D2092" s="509">
        <f>($D$2086*$D$2087*$D$2088)/$D$2090</f>
        <v>0</v>
      </c>
      <c r="E2092" s="509">
        <f>($E$2086*$E$2087*$E$2088)/$E$2090</f>
        <v>0</v>
      </c>
      <c r="F2092" s="509">
        <f>($F$2086*$F$2087*$F$2088)/$F$2090</f>
        <v>1.9255305600000001E-3</v>
      </c>
      <c r="G2092" s="509">
        <f>($G$2086*$G$2087*$G$2088)/$G$2090</f>
        <v>4.2077414400000001E-3</v>
      </c>
      <c r="H2092" s="509">
        <f>($H$2086*$H$2087*$H$2088)/$H$2090</f>
        <v>4.9008464400000003E-3</v>
      </c>
      <c r="I2092" s="509">
        <f>($I$2086*$I$2087*$I$2088)/$I$2090</f>
        <v>9.742340460000002E-3</v>
      </c>
      <c r="J2092" s="508"/>
    </row>
    <row r="2093" spans="1:10" ht="21" customHeight="1">
      <c r="A2093" s="507" t="s">
        <v>1327</v>
      </c>
      <c r="B2093" s="508" t="s">
        <v>641</v>
      </c>
      <c r="C2093" s="508" t="s">
        <v>397</v>
      </c>
      <c r="D2093" s="509">
        <v>3.3E-3</v>
      </c>
      <c r="E2093" s="509">
        <v>3.3E-3</v>
      </c>
      <c r="F2093" s="509">
        <v>3.3E-3</v>
      </c>
      <c r="G2093" s="509">
        <v>3.3E-3</v>
      </c>
      <c r="H2093" s="509">
        <v>3.3E-3</v>
      </c>
      <c r="I2093" s="509">
        <f>'Cálculos Jobos'!B59</f>
        <v>3.3E-3</v>
      </c>
      <c r="J2093" s="508"/>
    </row>
    <row r="2094" spans="1:10" ht="21" customHeight="1">
      <c r="A2094" s="507" t="s">
        <v>1327</v>
      </c>
      <c r="B2094" s="508" t="s">
        <v>1250</v>
      </c>
      <c r="C2094" s="508" t="s">
        <v>411</v>
      </c>
      <c r="D2094" s="509">
        <f>$D$2048</f>
        <v>0</v>
      </c>
      <c r="E2094" s="509">
        <f>$E$2048</f>
        <v>0</v>
      </c>
      <c r="F2094" s="509">
        <f>$F$2048</f>
        <v>0</v>
      </c>
      <c r="G2094" s="509">
        <f>$G$2048</f>
        <v>0</v>
      </c>
      <c r="H2094" s="509">
        <f>$H$2048</f>
        <v>0</v>
      </c>
      <c r="I2094" s="509">
        <f>$I$2048</f>
        <v>0</v>
      </c>
      <c r="J2094" s="508"/>
    </row>
    <row r="2095" spans="1:10" ht="21" customHeight="1">
      <c r="A2095" s="507" t="s">
        <v>1327</v>
      </c>
      <c r="B2095" s="508" t="s">
        <v>849</v>
      </c>
      <c r="C2095" s="508" t="s">
        <v>397</v>
      </c>
      <c r="D2095" s="509">
        <v>0.13800000000000001</v>
      </c>
      <c r="E2095" s="509">
        <v>0.13800000000000001</v>
      </c>
      <c r="F2095" s="509">
        <v>0.13800000000000001</v>
      </c>
      <c r="G2095" s="509">
        <v>0.13800000000000001</v>
      </c>
      <c r="H2095" s="509">
        <v>0.13800000000000001</v>
      </c>
      <c r="I2095" s="509">
        <f>'Cálculos Jobos'!F59</f>
        <v>0.13800000000000001</v>
      </c>
      <c r="J2095" s="508"/>
    </row>
    <row r="2096" spans="1:10" ht="21" customHeight="1">
      <c r="A2096" s="507" t="s">
        <v>1327</v>
      </c>
      <c r="B2096" s="508" t="s">
        <v>1251</v>
      </c>
      <c r="C2096" s="508" t="s">
        <v>397</v>
      </c>
      <c r="D2096" s="509">
        <v>3.3E-3</v>
      </c>
      <c r="E2096" s="509">
        <v>3.3E-3</v>
      </c>
      <c r="F2096" s="509">
        <v>3.3E-3</v>
      </c>
      <c r="G2096" s="509">
        <v>3.3E-3</v>
      </c>
      <c r="H2096" s="509">
        <v>3.3E-3</v>
      </c>
      <c r="I2096" s="509">
        <f>'Cálculos Jobos'!L59</f>
        <v>3.3E-3</v>
      </c>
      <c r="J2096" s="508"/>
    </row>
    <row r="2097" spans="1:10" ht="21" customHeight="1">
      <c r="A2097" s="507" t="s">
        <v>1327</v>
      </c>
      <c r="B2097" s="508" t="s">
        <v>1252</v>
      </c>
      <c r="C2097" s="508" t="s">
        <v>411</v>
      </c>
      <c r="D2097" s="509">
        <f>$D$2049</f>
        <v>0</v>
      </c>
      <c r="E2097" s="509">
        <f>$E$2049</f>
        <v>0</v>
      </c>
      <c r="F2097" s="509">
        <f>$F$2049</f>
        <v>68064</v>
      </c>
      <c r="G2097" s="509">
        <f>$G$2049</f>
        <v>148736</v>
      </c>
      <c r="H2097" s="509">
        <f>$H$2049</f>
        <v>173236</v>
      </c>
      <c r="I2097" s="509">
        <f>$I$2049</f>
        <v>344374</v>
      </c>
      <c r="J2097" s="508"/>
    </row>
    <row r="2098" spans="1:10" ht="21" customHeight="1">
      <c r="A2098" s="507" t="s">
        <v>1327</v>
      </c>
      <c r="B2098" s="508" t="s">
        <v>917</v>
      </c>
      <c r="C2098" s="508" t="s">
        <v>397</v>
      </c>
      <c r="D2098" s="509">
        <v>0.13800000000000001</v>
      </c>
      <c r="E2098" s="509">
        <v>0.13800000000000001</v>
      </c>
      <c r="F2098" s="509">
        <v>0.13800000000000001</v>
      </c>
      <c r="G2098" s="509">
        <v>0.13800000000000001</v>
      </c>
      <c r="H2098" s="509">
        <v>0.13800000000000001</v>
      </c>
      <c r="I2098" s="509">
        <f>'Cálculos Jobos'!P59</f>
        <v>0.13800000000000001</v>
      </c>
      <c r="J2098" s="508"/>
    </row>
    <row r="2099" spans="1:10" ht="21" customHeight="1">
      <c r="A2099" s="507" t="s">
        <v>1327</v>
      </c>
      <c r="B2099" s="508" t="s">
        <v>1253</v>
      </c>
      <c r="C2099" s="508" t="s">
        <v>397</v>
      </c>
      <c r="D2099" s="509">
        <v>2000</v>
      </c>
      <c r="E2099" s="509">
        <v>2000</v>
      </c>
      <c r="F2099" s="509">
        <v>2000</v>
      </c>
      <c r="G2099" s="509">
        <v>2000</v>
      </c>
      <c r="H2099" s="509">
        <v>2000</v>
      </c>
      <c r="I2099" s="509">
        <f>'Cálculos Jobos'!H60</f>
        <v>2000</v>
      </c>
      <c r="J2099" s="508"/>
    </row>
    <row r="2100" spans="1:10" ht="21" customHeight="1">
      <c r="A2100" s="507" t="s">
        <v>1327</v>
      </c>
      <c r="B2100" s="508" t="s">
        <v>1254</v>
      </c>
      <c r="C2100" s="508" t="s">
        <v>397</v>
      </c>
      <c r="D2100" s="509">
        <v>2000</v>
      </c>
      <c r="E2100" s="509">
        <v>2000</v>
      </c>
      <c r="F2100" s="509">
        <v>2000</v>
      </c>
      <c r="G2100" s="509">
        <v>2000</v>
      </c>
      <c r="H2100" s="509">
        <v>2000</v>
      </c>
      <c r="I2100" s="509">
        <f>'Cálculos Jobos'!R60</f>
        <v>2000</v>
      </c>
      <c r="J2100" s="508"/>
    </row>
    <row r="2101" spans="1:10" ht="21" customHeight="1">
      <c r="A2101" s="507" t="s">
        <v>1327</v>
      </c>
      <c r="B2101" s="508" t="s">
        <v>583</v>
      </c>
      <c r="C2101" s="508" t="s">
        <v>411</v>
      </c>
      <c r="D2101" s="509">
        <f>($D$2093*$D$2094*$D$2095)/$D$2099</f>
        <v>0</v>
      </c>
      <c r="E2101" s="509">
        <f>($E$2093*$E$2094*$E$2095)/$E$2099</f>
        <v>0</v>
      </c>
      <c r="F2101" s="509">
        <f>($F$2093*$F$2094*$F$2095)/$F$2099</f>
        <v>0</v>
      </c>
      <c r="G2101" s="509">
        <f>($G$2093*$G$2094*$G$2095)/$G$2099</f>
        <v>0</v>
      </c>
      <c r="H2101" s="509">
        <f>($H$2093*$H$2094*$H$2095)/$H$2099</f>
        <v>0</v>
      </c>
      <c r="I2101" s="509">
        <f>($I$2093*$I$2094*$I$2095)/$I$2099</f>
        <v>0</v>
      </c>
      <c r="J2101" s="508"/>
    </row>
    <row r="2102" spans="1:10" ht="21" customHeight="1">
      <c r="A2102" s="507" t="s">
        <v>1327</v>
      </c>
      <c r="B2102" s="508" t="s">
        <v>1311</v>
      </c>
      <c r="C2102" s="508" t="s">
        <v>411</v>
      </c>
      <c r="D2102" s="509">
        <f>($D$2096*$D$2097*$D$2098)/$D$2100</f>
        <v>0</v>
      </c>
      <c r="E2102" s="509">
        <f>($E$2096*$E$2097*$E$2098)/$E$2100</f>
        <v>0</v>
      </c>
      <c r="F2102" s="509">
        <f>($F$2096*$F$2097*$F$2098)/$F$2100</f>
        <v>1.5498172800000001E-2</v>
      </c>
      <c r="G2102" s="509">
        <f>($G$2096*$G$2097*$G$2098)/$G$2100</f>
        <v>3.3867187200000003E-2</v>
      </c>
      <c r="H2102" s="509">
        <f>($H$2096*$H$2097*$H$2098)/$H$2100</f>
        <v>3.9445837200000007E-2</v>
      </c>
      <c r="I2102" s="509">
        <f>($I$2096*$I$2097*$I$2098)/$I$2100</f>
        <v>7.8413959800000002E-2</v>
      </c>
      <c r="J2102" s="508"/>
    </row>
    <row r="2103" spans="1:10" ht="21" customHeight="1">
      <c r="A2103" s="507" t="s">
        <v>1327</v>
      </c>
      <c r="B2103" s="508" t="s">
        <v>854</v>
      </c>
      <c r="C2103" s="508" t="s">
        <v>397</v>
      </c>
      <c r="D2103" s="509">
        <v>1.4E-5</v>
      </c>
      <c r="E2103" s="509">
        <v>1.4E-5</v>
      </c>
      <c r="F2103" s="509">
        <v>1.4E-5</v>
      </c>
      <c r="G2103" s="509">
        <v>1.4E-5</v>
      </c>
      <c r="H2103" s="509">
        <v>1.4E-5</v>
      </c>
      <c r="I2103" s="509">
        <f>'Cálculos Jobos'!B69</f>
        <v>1.4E-5</v>
      </c>
      <c r="J2103" s="508"/>
    </row>
    <row r="2104" spans="1:10" ht="21" customHeight="1">
      <c r="A2104" s="507" t="s">
        <v>1327</v>
      </c>
      <c r="B2104" s="508" t="s">
        <v>1312</v>
      </c>
      <c r="C2104" s="508" t="s">
        <v>411</v>
      </c>
      <c r="D2104" s="509">
        <f>$D$2048</f>
        <v>0</v>
      </c>
      <c r="E2104" s="509">
        <f>$E$2048</f>
        <v>0</v>
      </c>
      <c r="F2104" s="509">
        <f>$F$2048</f>
        <v>0</v>
      </c>
      <c r="G2104" s="509">
        <f>$G$2048</f>
        <v>0</v>
      </c>
      <c r="H2104" s="509">
        <f>$H$2048</f>
        <v>0</v>
      </c>
      <c r="I2104" s="509">
        <f>$I$2048</f>
        <v>0</v>
      </c>
      <c r="J2104" s="508"/>
    </row>
    <row r="2105" spans="1:10" ht="21" customHeight="1">
      <c r="A2105" s="507" t="s">
        <v>1327</v>
      </c>
      <c r="B2105" s="508" t="s">
        <v>855</v>
      </c>
      <c r="C2105" s="508" t="s">
        <v>397</v>
      </c>
      <c r="D2105" s="509">
        <v>0.13800000000000001</v>
      </c>
      <c r="E2105" s="509">
        <v>0.13800000000000001</v>
      </c>
      <c r="F2105" s="509">
        <v>0.13800000000000001</v>
      </c>
      <c r="G2105" s="509">
        <v>0.13800000000000001</v>
      </c>
      <c r="H2105" s="509">
        <v>0.13800000000000001</v>
      </c>
      <c r="I2105" s="509">
        <f>'Cálculos Jobos'!F69</f>
        <v>0.13800000000000001</v>
      </c>
      <c r="J2105" s="508"/>
    </row>
    <row r="2106" spans="1:10" ht="21" customHeight="1">
      <c r="A2106" s="507" t="s">
        <v>1327</v>
      </c>
      <c r="B2106" s="508" t="s">
        <v>1313</v>
      </c>
      <c r="C2106" s="508" t="s">
        <v>397</v>
      </c>
      <c r="D2106" s="509">
        <v>1.4E-5</v>
      </c>
      <c r="E2106" s="509">
        <v>1.4E-5</v>
      </c>
      <c r="F2106" s="509">
        <v>1.4E-5</v>
      </c>
      <c r="G2106" s="509">
        <v>1.4E-5</v>
      </c>
      <c r="H2106" s="509">
        <v>1.4E-5</v>
      </c>
      <c r="I2106" s="509">
        <f>'Cálculos Jobos'!L69</f>
        <v>1.4E-5</v>
      </c>
      <c r="J2106" s="508"/>
    </row>
    <row r="2107" spans="1:10" ht="21" customHeight="1">
      <c r="A2107" s="507" t="s">
        <v>1327</v>
      </c>
      <c r="B2107" s="508" t="s">
        <v>1314</v>
      </c>
      <c r="C2107" s="508" t="s">
        <v>411</v>
      </c>
      <c r="D2107" s="509">
        <f>$D$2049</f>
        <v>0</v>
      </c>
      <c r="E2107" s="509">
        <f>$E$2049</f>
        <v>0</v>
      </c>
      <c r="F2107" s="509">
        <f>$F$2049</f>
        <v>68064</v>
      </c>
      <c r="G2107" s="509">
        <f>$G$2049</f>
        <v>148736</v>
      </c>
      <c r="H2107" s="509">
        <f>$H$2049</f>
        <v>173236</v>
      </c>
      <c r="I2107" s="509">
        <f>$I$2049</f>
        <v>344374</v>
      </c>
      <c r="J2107" s="508"/>
    </row>
    <row r="2108" spans="1:10" ht="21" customHeight="1">
      <c r="A2108" s="507" t="s">
        <v>1327</v>
      </c>
      <c r="B2108" s="508" t="s">
        <v>922</v>
      </c>
      <c r="C2108" s="508" t="s">
        <v>397</v>
      </c>
      <c r="D2108" s="509">
        <v>0.13800000000000001</v>
      </c>
      <c r="E2108" s="509">
        <v>0.13800000000000001</v>
      </c>
      <c r="F2108" s="509">
        <v>0.13800000000000001</v>
      </c>
      <c r="G2108" s="509">
        <v>0.13800000000000001</v>
      </c>
      <c r="H2108" s="509">
        <v>0.13800000000000001</v>
      </c>
      <c r="I2108" s="509">
        <f>'Cálculos Jobos'!P69</f>
        <v>0.13800000000000001</v>
      </c>
      <c r="J2108" s="508"/>
    </row>
    <row r="2109" spans="1:10" ht="21" customHeight="1">
      <c r="A2109" s="507" t="s">
        <v>1327</v>
      </c>
      <c r="B2109" s="508" t="s">
        <v>1315</v>
      </c>
      <c r="C2109" s="508" t="s">
        <v>397</v>
      </c>
      <c r="D2109" s="509">
        <v>2000</v>
      </c>
      <c r="E2109" s="509">
        <v>2000</v>
      </c>
      <c r="F2109" s="509">
        <v>2000</v>
      </c>
      <c r="G2109" s="509">
        <v>2000</v>
      </c>
      <c r="H2109" s="509">
        <v>2000</v>
      </c>
      <c r="I2109" s="509">
        <f>'Cálculos Jobos'!H70</f>
        <v>2000</v>
      </c>
      <c r="J2109" s="508"/>
    </row>
    <row r="2110" spans="1:10" ht="21" customHeight="1">
      <c r="A2110" s="507" t="s">
        <v>1327</v>
      </c>
      <c r="B2110" s="508" t="s">
        <v>1316</v>
      </c>
      <c r="C2110" s="508" t="s">
        <v>397</v>
      </c>
      <c r="D2110" s="509">
        <v>2000</v>
      </c>
      <c r="E2110" s="509">
        <v>2000</v>
      </c>
      <c r="F2110" s="509">
        <v>2000</v>
      </c>
      <c r="G2110" s="509">
        <v>2000</v>
      </c>
      <c r="H2110" s="509">
        <v>2000</v>
      </c>
      <c r="I2110" s="509">
        <f>'Cálculos Jobos'!R70</f>
        <v>2000</v>
      </c>
      <c r="J2110" s="508"/>
    </row>
    <row r="2111" spans="1:10" ht="21" customHeight="1">
      <c r="A2111" s="507" t="s">
        <v>1327</v>
      </c>
      <c r="B2111" s="508" t="s">
        <v>736</v>
      </c>
      <c r="C2111" s="508" t="s">
        <v>411</v>
      </c>
      <c r="D2111" s="509">
        <f>($D$2103*$D$2104*$D$2105)/$D$2109</f>
        <v>0</v>
      </c>
      <c r="E2111" s="509">
        <f>($E$2103*$E$2104*$E$2105)/$E$2109</f>
        <v>0</v>
      </c>
      <c r="F2111" s="509">
        <f>($F$2103*$F$2104*$F$2105)/$F$2109</f>
        <v>0</v>
      </c>
      <c r="G2111" s="509">
        <f>($G$2103*$G$2104*$G$2105)/$G$2109</f>
        <v>0</v>
      </c>
      <c r="H2111" s="509">
        <f>($H$2103*$H$2104*$H$2105)/$H$2109</f>
        <v>0</v>
      </c>
      <c r="I2111" s="509">
        <f>($I$2103*$I$2104*$I$2105)/$I$2109</f>
        <v>0</v>
      </c>
      <c r="J2111" s="508"/>
    </row>
    <row r="2112" spans="1:10" ht="21" customHeight="1">
      <c r="A2112" s="507" t="s">
        <v>1327</v>
      </c>
      <c r="B2112" s="508" t="s">
        <v>1317</v>
      </c>
      <c r="C2112" s="508" t="s">
        <v>411</v>
      </c>
      <c r="D2112" s="509">
        <f>($D$2106*$D$2107*$D$2108)/$D$2110</f>
        <v>0</v>
      </c>
      <c r="E2112" s="509">
        <f>($E$2106*$E$2107*$E$2108)/$E$2110</f>
        <v>0</v>
      </c>
      <c r="F2112" s="509">
        <f>($F$2106*$F$2107*$F$2108)/$F$2110</f>
        <v>6.5749823999999998E-5</v>
      </c>
      <c r="G2112" s="509">
        <f>($G$2106*$G$2107*$G$2108)/$G$2110</f>
        <v>1.4367897600000001E-4</v>
      </c>
      <c r="H2112" s="509">
        <f>($H$2106*$H$2107*$H$2108)/$H$2110</f>
        <v>1.6734597600000003E-4</v>
      </c>
      <c r="I2112" s="509">
        <f>($I$2106*$I$2107*$I$2108)/$I$2110</f>
        <v>3.32665284E-4</v>
      </c>
      <c r="J2112" s="508"/>
    </row>
    <row r="2113" spans="1:10" ht="21" customHeight="1">
      <c r="A2113" s="507" t="s">
        <v>1327</v>
      </c>
      <c r="B2113" s="508" t="s">
        <v>1318</v>
      </c>
      <c r="C2113" s="508" t="s">
        <v>411</v>
      </c>
      <c r="D2113" s="509">
        <f>$D$2052</f>
        <v>22.578420600240001</v>
      </c>
      <c r="E2113" s="509">
        <f>$E$2052</f>
        <v>22.578420600240001</v>
      </c>
      <c r="F2113" s="509">
        <f>$F$2052</f>
        <v>22.578420600240001</v>
      </c>
      <c r="G2113" s="509">
        <f>$G$2052</f>
        <v>22.578420600240001</v>
      </c>
      <c r="H2113" s="509">
        <f>$H$2052</f>
        <v>22.578420600240001</v>
      </c>
      <c r="I2113" s="509">
        <f>$I$2052</f>
        <v>22.578420600240001</v>
      </c>
      <c r="J2113" s="508"/>
    </row>
    <row r="2114" spans="1:10" ht="21" customHeight="1">
      <c r="A2114" s="507" t="s">
        <v>1327</v>
      </c>
      <c r="B2114" s="508" t="s">
        <v>1319</v>
      </c>
      <c r="C2114" s="508" t="s">
        <v>411</v>
      </c>
      <c r="D2114" s="509">
        <f>$D$2104</f>
        <v>0</v>
      </c>
      <c r="E2114" s="509">
        <f>$E$2104</f>
        <v>0</v>
      </c>
      <c r="F2114" s="509">
        <f>$F$2104</f>
        <v>0</v>
      </c>
      <c r="G2114" s="509">
        <f>$G$2104</f>
        <v>0</v>
      </c>
      <c r="H2114" s="509">
        <f>$H$2104</f>
        <v>0</v>
      </c>
      <c r="I2114" s="509">
        <f>$I$2104</f>
        <v>0</v>
      </c>
      <c r="J2114" s="508"/>
    </row>
    <row r="2115" spans="1:10" ht="21" customHeight="1">
      <c r="A2115" s="507" t="s">
        <v>1327</v>
      </c>
      <c r="B2115" s="508" t="s">
        <v>1320</v>
      </c>
      <c r="C2115" s="508" t="s">
        <v>411</v>
      </c>
      <c r="D2115" s="509">
        <f>$D$2052</f>
        <v>22.578420600240001</v>
      </c>
      <c r="E2115" s="509">
        <f>$E$2052</f>
        <v>22.578420600240001</v>
      </c>
      <c r="F2115" s="509">
        <f>$F$2052</f>
        <v>22.578420600240001</v>
      </c>
      <c r="G2115" s="509">
        <f>$G$2052</f>
        <v>22.578420600240001</v>
      </c>
      <c r="H2115" s="509">
        <f>$H$2052</f>
        <v>22.578420600240001</v>
      </c>
      <c r="I2115" s="509">
        <f>$I$2052</f>
        <v>22.578420600240001</v>
      </c>
      <c r="J2115" s="508"/>
    </row>
    <row r="2116" spans="1:10" ht="21" customHeight="1">
      <c r="A2116" s="507" t="s">
        <v>1327</v>
      </c>
      <c r="B2116" s="508" t="s">
        <v>1321</v>
      </c>
      <c r="C2116" s="508" t="s">
        <v>411</v>
      </c>
      <c r="D2116" s="509">
        <f>$D$2107</f>
        <v>0</v>
      </c>
      <c r="E2116" s="509">
        <f>$E$2107</f>
        <v>0</v>
      </c>
      <c r="F2116" s="509">
        <f>$F$2107</f>
        <v>68064</v>
      </c>
      <c r="G2116" s="509">
        <f>$G$2107</f>
        <v>148736</v>
      </c>
      <c r="H2116" s="509">
        <f>$H$2107</f>
        <v>173236</v>
      </c>
      <c r="I2116" s="509">
        <f>$I$2107</f>
        <v>344374</v>
      </c>
      <c r="J2116" s="508"/>
    </row>
    <row r="2117" spans="1:10" ht="21" customHeight="1">
      <c r="A2117" s="507" t="s">
        <v>1327</v>
      </c>
      <c r="B2117" s="508" t="s">
        <v>1322</v>
      </c>
      <c r="C2117" s="508" t="s">
        <v>397</v>
      </c>
      <c r="D2117" s="509">
        <v>2000</v>
      </c>
      <c r="E2117" s="509">
        <v>2000</v>
      </c>
      <c r="F2117" s="509">
        <v>2000</v>
      </c>
      <c r="G2117" s="509">
        <v>2000</v>
      </c>
      <c r="H2117" s="509">
        <v>2000</v>
      </c>
      <c r="I2117" s="509">
        <f>'Cálculos Jobos'!F80</f>
        <v>2000</v>
      </c>
      <c r="J2117" s="508"/>
    </row>
    <row r="2118" spans="1:10" ht="21" customHeight="1">
      <c r="A2118" s="507" t="s">
        <v>1327</v>
      </c>
      <c r="B2118" s="508" t="s">
        <v>1323</v>
      </c>
      <c r="C2118" s="508" t="s">
        <v>397</v>
      </c>
      <c r="D2118" s="509">
        <v>2000</v>
      </c>
      <c r="E2118" s="509">
        <v>2000</v>
      </c>
      <c r="F2118" s="509">
        <v>2000</v>
      </c>
      <c r="G2118" s="509">
        <v>2000</v>
      </c>
      <c r="H2118" s="509">
        <v>2000</v>
      </c>
      <c r="I2118" s="509">
        <f>'Cálculos Jobos'!P80</f>
        <v>2000</v>
      </c>
      <c r="J2118" s="508"/>
    </row>
    <row r="2119" spans="1:10" ht="21" customHeight="1">
      <c r="A2119" s="507" t="s">
        <v>1327</v>
      </c>
      <c r="B2119" s="508" t="s">
        <v>1324</v>
      </c>
      <c r="C2119" s="508" t="s">
        <v>411</v>
      </c>
      <c r="D2119" s="509">
        <f>$D$2113*$D$2114/$D$2117</f>
        <v>0</v>
      </c>
      <c r="E2119" s="509">
        <f>$E$2113*$E$2114/$E$2117</f>
        <v>0</v>
      </c>
      <c r="F2119" s="509">
        <f>$F$2113*$F$2114/$F$2117</f>
        <v>0</v>
      </c>
      <c r="G2119" s="509">
        <f>$G$2113*$G$2114/$G$2117</f>
        <v>0</v>
      </c>
      <c r="H2119" s="509">
        <f>$H$2113*$H$2114/$H$2117</f>
        <v>0</v>
      </c>
      <c r="I2119" s="509">
        <f>$I$2113*$I$2114/$I$2117</f>
        <v>0</v>
      </c>
      <c r="J2119" s="508"/>
    </row>
    <row r="2120" spans="1:10" ht="21" customHeight="1">
      <c r="A2120" s="507" t="s">
        <v>1327</v>
      </c>
      <c r="B2120" s="508" t="s">
        <v>1325</v>
      </c>
      <c r="C2120" s="508" t="s">
        <v>411</v>
      </c>
      <c r="D2120" s="509">
        <f>$D$2115*$D$2116/$D$2118</f>
        <v>0</v>
      </c>
      <c r="E2120" s="509">
        <f>$E$2115*$E$2116/$E$2118</f>
        <v>0</v>
      </c>
      <c r="F2120" s="509">
        <f>$F$2115*$F$2116/$F$2118</f>
        <v>768.38880986736774</v>
      </c>
      <c r="G2120" s="509">
        <f>$G$2115*$G$2116/$G$2118</f>
        <v>1679.1119831986484</v>
      </c>
      <c r="H2120" s="509">
        <f>$H$2115*$H$2116/$H$2118</f>
        <v>1955.6976355515883</v>
      </c>
      <c r="I2120" s="509">
        <f>$I$2115*$I$2116/$I$2118</f>
        <v>3887.7105078935251</v>
      </c>
      <c r="J2120" s="508"/>
    </row>
    <row r="2121" spans="1:10" ht="21" customHeight="1">
      <c r="A2121" s="510" t="s">
        <v>1328</v>
      </c>
      <c r="B2121" s="506"/>
      <c r="C2121" s="506"/>
      <c r="D2121" s="511"/>
      <c r="E2121" s="511"/>
      <c r="F2121" s="511"/>
      <c r="G2121" s="511"/>
      <c r="H2121" s="511"/>
      <c r="I2121" s="512"/>
      <c r="J2121" s="506"/>
    </row>
    <row r="2122" spans="1:10" ht="21" customHeight="1">
      <c r="A2122" s="507" t="s">
        <v>1328</v>
      </c>
      <c r="B2122" s="508" t="s">
        <v>755</v>
      </c>
      <c r="C2122" s="508" t="s">
        <v>411</v>
      </c>
      <c r="D2122" s="509">
        <f>$D$2061+$D$2062</f>
        <v>0</v>
      </c>
      <c r="E2122" s="509">
        <f>$E$2061+$E$2062</f>
        <v>0</v>
      </c>
      <c r="F2122" s="509">
        <f>$F$2061+$F$2062</f>
        <v>5.6356992000000009E-2</v>
      </c>
      <c r="G2122" s="509">
        <f>$G$2061+$G$2062</f>
        <v>0.12315340800000002</v>
      </c>
      <c r="H2122" s="509">
        <f>$H$2061+$H$2062</f>
        <v>0.14343940800000002</v>
      </c>
      <c r="I2122" s="509">
        <f>$I$2061+$I$2062</f>
        <v>0.28514167200000001</v>
      </c>
      <c r="J2122" s="508" t="s">
        <v>11</v>
      </c>
    </row>
    <row r="2123" spans="1:10" ht="21" customHeight="1">
      <c r="A2123" s="507" t="s">
        <v>1328</v>
      </c>
      <c r="B2123" s="508" t="s">
        <v>926</v>
      </c>
      <c r="C2123" s="508" t="s">
        <v>411</v>
      </c>
      <c r="D2123" s="509">
        <f>$D$2071+$D$2072</f>
        <v>0</v>
      </c>
      <c r="E2123" s="509">
        <f>$E$2071+$E$2072</f>
        <v>0</v>
      </c>
      <c r="F2123" s="509">
        <f>$F$2071+$F$2072</f>
        <v>4.7433801599999999E-2</v>
      </c>
      <c r="G2123" s="509">
        <f>$G$2071+$G$2072</f>
        <v>0.10365411840000002</v>
      </c>
      <c r="H2123" s="509">
        <f>$H$2071+$H$2072</f>
        <v>0.1207281684</v>
      </c>
      <c r="I2123" s="509">
        <f>$I$2071+$I$2072</f>
        <v>0.23999424060000002</v>
      </c>
      <c r="J2123" s="508" t="s">
        <v>35</v>
      </c>
    </row>
    <row r="2124" spans="1:10" ht="21" customHeight="1">
      <c r="A2124" s="507" t="s">
        <v>1328</v>
      </c>
      <c r="B2124" s="508" t="s">
        <v>661</v>
      </c>
      <c r="C2124" s="508" t="s">
        <v>411</v>
      </c>
      <c r="D2124" s="509">
        <f>$D$2081+$D$2082</f>
        <v>0</v>
      </c>
      <c r="E2124" s="509">
        <f>$E$2081+$E$2082</f>
        <v>0</v>
      </c>
      <c r="F2124" s="509">
        <f>$F$2081+$F$2082</f>
        <v>4.1328460800000002</v>
      </c>
      <c r="G2124" s="509">
        <f>$G$2081+$G$2082</f>
        <v>9.0312499200000023</v>
      </c>
      <c r="H2124" s="509">
        <f>$H$2081+$H$2082</f>
        <v>10.518889919999999</v>
      </c>
      <c r="I2124" s="509">
        <f>$I$2081+$I$2082</f>
        <v>20.910389280000004</v>
      </c>
      <c r="J2124" s="508" t="s">
        <v>14</v>
      </c>
    </row>
    <row r="2125" spans="1:10" ht="21" customHeight="1">
      <c r="A2125" s="507" t="s">
        <v>1328</v>
      </c>
      <c r="B2125" s="508" t="s">
        <v>662</v>
      </c>
      <c r="C2125" s="508" t="s">
        <v>411</v>
      </c>
      <c r="D2125" s="509">
        <f>$D$2091+$D$2092</f>
        <v>0</v>
      </c>
      <c r="E2125" s="509">
        <f>$E$2091+$E$2092</f>
        <v>0</v>
      </c>
      <c r="F2125" s="509">
        <f>$F$2091+$F$2092</f>
        <v>1.9255305600000001E-3</v>
      </c>
      <c r="G2125" s="509">
        <f>$G$2091+$G$2092</f>
        <v>4.2077414400000001E-3</v>
      </c>
      <c r="H2125" s="509">
        <f>$H$2091+$H$2092</f>
        <v>4.9008464400000003E-3</v>
      </c>
      <c r="I2125" s="509">
        <f>$I$2091+$I$2092</f>
        <v>9.742340460000002E-3</v>
      </c>
      <c r="J2125" s="508" t="s">
        <v>16</v>
      </c>
    </row>
    <row r="2126" spans="1:10" ht="21" customHeight="1">
      <c r="A2126" s="507" t="s">
        <v>1328</v>
      </c>
      <c r="B2126" s="508" t="s">
        <v>663</v>
      </c>
      <c r="C2126" s="508" t="s">
        <v>411</v>
      </c>
      <c r="D2126" s="509">
        <f>$D$2101+$D$2102</f>
        <v>0</v>
      </c>
      <c r="E2126" s="509">
        <f>$E$2101+$E$2102</f>
        <v>0</v>
      </c>
      <c r="F2126" s="509">
        <f>$F$2101+$F$2102</f>
        <v>1.5498172800000001E-2</v>
      </c>
      <c r="G2126" s="509">
        <f>$G$2101+$G$2102</f>
        <v>3.3867187200000003E-2</v>
      </c>
      <c r="H2126" s="509">
        <f>$H$2101+$H$2102</f>
        <v>3.9445837200000007E-2</v>
      </c>
      <c r="I2126" s="509">
        <f>$I$2101+$I$2102</f>
        <v>7.8413959800000002E-2</v>
      </c>
      <c r="J2126" s="508" t="s">
        <v>15</v>
      </c>
    </row>
    <row r="2127" spans="1:10" ht="21" customHeight="1">
      <c r="A2127" s="507" t="s">
        <v>1328</v>
      </c>
      <c r="B2127" s="508" t="s">
        <v>664</v>
      </c>
      <c r="C2127" s="508" t="s">
        <v>411</v>
      </c>
      <c r="D2127" s="509">
        <f>$D$2111+$D$2112</f>
        <v>0</v>
      </c>
      <c r="E2127" s="509">
        <f>$E$2111+$E$2112</f>
        <v>0</v>
      </c>
      <c r="F2127" s="509">
        <f>$F$2111+$F$2112</f>
        <v>6.5749823999999998E-5</v>
      </c>
      <c r="G2127" s="509">
        <f>$G$2111+$G$2112</f>
        <v>1.4367897600000001E-4</v>
      </c>
      <c r="H2127" s="509">
        <f>$H$2111+$H$2112</f>
        <v>1.6734597600000003E-4</v>
      </c>
      <c r="I2127" s="509">
        <f>$I$2111+$I$2112</f>
        <v>3.32665284E-4</v>
      </c>
      <c r="J2127" s="508" t="s">
        <v>1268</v>
      </c>
    </row>
    <row r="2128" spans="1:10" ht="21" customHeight="1">
      <c r="A2128" s="507" t="s">
        <v>1328</v>
      </c>
      <c r="B2128" s="508" t="s">
        <v>665</v>
      </c>
      <c r="C2128" s="508" t="s">
        <v>411</v>
      </c>
      <c r="D2128" s="509">
        <f>$D$2119+$D$2120</f>
        <v>0</v>
      </c>
      <c r="E2128" s="509">
        <f>$E$2119+$E$2120</f>
        <v>0</v>
      </c>
      <c r="F2128" s="509">
        <f>$F$2119+$F$2120</f>
        <v>768.38880986736774</v>
      </c>
      <c r="G2128" s="509">
        <f>$G$2119+$G$2120</f>
        <v>1679.1119831986484</v>
      </c>
      <c r="H2128" s="509">
        <f>$H$2119+$H$2120</f>
        <v>1955.6976355515883</v>
      </c>
      <c r="I2128" s="509">
        <f>$I$2119+$I$2120</f>
        <v>3887.7105078935251</v>
      </c>
      <c r="J2128" s="508" t="s">
        <v>671</v>
      </c>
    </row>
    <row r="2129" spans="1:10" ht="21" customHeight="1">
      <c r="A2129" s="510" t="s">
        <v>1329</v>
      </c>
      <c r="B2129" s="506"/>
      <c r="C2129" s="506"/>
      <c r="D2129" s="511"/>
      <c r="E2129" s="511"/>
      <c r="F2129" s="511"/>
      <c r="G2129" s="511"/>
      <c r="H2129" s="511"/>
      <c r="I2129" s="512"/>
      <c r="J2129" s="506"/>
    </row>
    <row r="2130" spans="1:10" ht="21" customHeight="1">
      <c r="A2130" s="507" t="s">
        <v>1329</v>
      </c>
      <c r="B2130" s="508" t="s">
        <v>1038</v>
      </c>
      <c r="C2130" s="508" t="s">
        <v>411</v>
      </c>
      <c r="D2130" s="509">
        <f>$D$1521</f>
        <v>333916</v>
      </c>
      <c r="E2130" s="509">
        <f>$E$1528</f>
        <v>308753</v>
      </c>
      <c r="F2130" s="509">
        <f>$F$1534</f>
        <v>474757</v>
      </c>
      <c r="G2130" s="509">
        <f>$G$1540</f>
        <v>523397</v>
      </c>
      <c r="H2130" s="509">
        <f>$H$1546</f>
        <v>185405</v>
      </c>
      <c r="I2130" s="509">
        <f>$I$1552</f>
        <v>118998</v>
      </c>
      <c r="J2130" s="508" t="s">
        <v>318</v>
      </c>
    </row>
    <row r="2131" spans="1:10" ht="21" customHeight="1">
      <c r="A2131" s="507" t="s">
        <v>1329</v>
      </c>
      <c r="B2131" s="508" t="s">
        <v>464</v>
      </c>
      <c r="C2131" s="508" t="s">
        <v>411</v>
      </c>
      <c r="D2131" s="509">
        <f>$D$1518</f>
        <v>0</v>
      </c>
      <c r="E2131" s="509">
        <f>$E$1525</f>
        <v>0</v>
      </c>
      <c r="F2131" s="509">
        <f>$F$1531</f>
        <v>0</v>
      </c>
      <c r="G2131" s="509">
        <f>$G$1537</f>
        <v>0</v>
      </c>
      <c r="H2131" s="509">
        <f>$H$1543</f>
        <v>0</v>
      </c>
      <c r="I2131" s="509">
        <f>$I$1549</f>
        <v>1707</v>
      </c>
      <c r="J2131" s="508" t="s">
        <v>318</v>
      </c>
    </row>
    <row r="2132" spans="1:10" ht="21" customHeight="1">
      <c r="A2132" s="507" t="s">
        <v>1329</v>
      </c>
      <c r="B2132" s="508" t="s">
        <v>1197</v>
      </c>
      <c r="C2132" s="508" t="s">
        <v>411</v>
      </c>
      <c r="D2132" s="509">
        <f>$D$1519</f>
        <v>0</v>
      </c>
      <c r="E2132" s="509">
        <f>$E$1526</f>
        <v>1064</v>
      </c>
      <c r="F2132" s="509">
        <f>$F$1532</f>
        <v>0</v>
      </c>
      <c r="G2132" s="509">
        <f>$G$1538</f>
        <v>40010</v>
      </c>
      <c r="H2132" s="509">
        <f>$H$1544</f>
        <v>272996</v>
      </c>
      <c r="I2132" s="509">
        <f>$I$1550</f>
        <v>281873</v>
      </c>
      <c r="J2132" s="508" t="s">
        <v>318</v>
      </c>
    </row>
    <row r="2133" spans="1:10" ht="21" customHeight="1">
      <c r="A2133" s="507" t="s">
        <v>1329</v>
      </c>
      <c r="B2133" s="508" t="s">
        <v>825</v>
      </c>
      <c r="C2133" s="508" t="s">
        <v>411</v>
      </c>
      <c r="D2133" s="509">
        <f>$D$1520</f>
        <v>373660</v>
      </c>
      <c r="E2133" s="509">
        <f>$E$1527</f>
        <v>290842</v>
      </c>
      <c r="F2133" s="509">
        <f>$F$1533</f>
        <v>374127</v>
      </c>
      <c r="G2133" s="509">
        <f>$G$1539</f>
        <v>198062</v>
      </c>
      <c r="H2133" s="509">
        <f>$H$1545</f>
        <v>191925</v>
      </c>
      <c r="I2133" s="509">
        <f>$I$1551</f>
        <v>705278</v>
      </c>
      <c r="J2133" s="508" t="s">
        <v>318</v>
      </c>
    </row>
    <row r="2134" spans="1:10" ht="21" customHeight="1">
      <c r="A2134" s="507" t="s">
        <v>1329</v>
      </c>
      <c r="B2134" s="508" t="s">
        <v>1049</v>
      </c>
      <c r="C2134" s="508" t="s">
        <v>411</v>
      </c>
      <c r="D2134" s="509">
        <f>$D$1507</f>
        <v>1.0000000000000002E-3</v>
      </c>
      <c r="E2134" s="509">
        <f>$E$1347</f>
        <v>0.01</v>
      </c>
      <c r="F2134" s="509">
        <f>$F$1367</f>
        <v>0.01</v>
      </c>
      <c r="G2134" s="509">
        <f>$G$1387</f>
        <v>0.01</v>
      </c>
      <c r="H2134" s="509">
        <f>$H$1407</f>
        <v>0.01</v>
      </c>
      <c r="I2134" s="509">
        <f>$I$1427</f>
        <v>0.01</v>
      </c>
      <c r="J2134" s="508" t="s">
        <v>84</v>
      </c>
    </row>
    <row r="2135" spans="1:10" ht="21" customHeight="1">
      <c r="A2135" s="507" t="s">
        <v>1329</v>
      </c>
      <c r="B2135" s="508" t="s">
        <v>1330</v>
      </c>
      <c r="C2135" s="508" t="s">
        <v>411</v>
      </c>
      <c r="D2135" s="509">
        <f>(73.96+0.003*25+0.0006*298)*2.2046*0.138</f>
        <v>22.578420600240001</v>
      </c>
      <c r="E2135" s="509">
        <f>(73.96+0.003*25+0.0006*298)*2.2046*0.138</f>
        <v>22.578420600240001</v>
      </c>
      <c r="F2135" s="509">
        <f>(73.96+0.003*25+0.0006*298)*2.2046*0.138</f>
        <v>22.578420600240001</v>
      </c>
      <c r="G2135" s="509">
        <f>(73.96+0.003*25+0.0006*298)*2.2046*0.138</f>
        <v>22.578420600240001</v>
      </c>
      <c r="H2135" s="509">
        <f>(73.96+0.003*25+0.0006*298)*2.2046*0.138</f>
        <v>22.578420600240001</v>
      </c>
      <c r="I2135" s="509">
        <f>(73.96+0.003*25+0.0006*298)*2.2046*0.138</f>
        <v>22.578420600240001</v>
      </c>
      <c r="J2135" s="508" t="s">
        <v>84</v>
      </c>
    </row>
    <row r="2136" spans="1:10" ht="21" customHeight="1">
      <c r="A2136" s="507" t="s">
        <v>1329</v>
      </c>
      <c r="B2136" s="508" t="s">
        <v>469</v>
      </c>
      <c r="C2136" s="508" t="s">
        <v>411</v>
      </c>
      <c r="D2136" s="509">
        <f>$D$1516</f>
        <v>1.0000000000000002E-3</v>
      </c>
      <c r="E2136" s="509">
        <f>$E$1364</f>
        <v>0.01</v>
      </c>
      <c r="F2136" s="509">
        <f>$F$1384</f>
        <v>0.01</v>
      </c>
      <c r="G2136" s="509">
        <f>$G$1404</f>
        <v>0.01</v>
      </c>
      <c r="H2136" s="509">
        <f>$H$1424</f>
        <v>0.01</v>
      </c>
      <c r="I2136" s="509">
        <f>$I$1444</f>
        <v>0.01</v>
      </c>
      <c r="J2136" s="508" t="s">
        <v>84</v>
      </c>
    </row>
    <row r="2137" spans="1:10" ht="21" customHeight="1">
      <c r="A2137" s="507" t="s">
        <v>1329</v>
      </c>
      <c r="B2137" s="508" t="s">
        <v>1202</v>
      </c>
      <c r="C2137" s="508" t="s">
        <v>411</v>
      </c>
      <c r="D2137" s="509">
        <f>$D$1517</f>
        <v>1.0000000000000002E-3</v>
      </c>
      <c r="E2137" s="509">
        <f>$E$1365</f>
        <v>0.01</v>
      </c>
      <c r="F2137" s="509">
        <f>$F$1385</f>
        <v>0.01</v>
      </c>
      <c r="G2137" s="509">
        <f>$G$1405</f>
        <v>0.01</v>
      </c>
      <c r="H2137" s="509">
        <f>$H$1425</f>
        <v>0.01</v>
      </c>
      <c r="I2137" s="509">
        <f>$I$1445</f>
        <v>0.01</v>
      </c>
      <c r="J2137" s="508" t="s">
        <v>84</v>
      </c>
    </row>
    <row r="2138" spans="1:10" ht="21" customHeight="1">
      <c r="A2138" s="507" t="s">
        <v>1329</v>
      </c>
      <c r="B2138" s="508" t="s">
        <v>827</v>
      </c>
      <c r="C2138" s="508" t="s">
        <v>411</v>
      </c>
      <c r="D2138" s="509">
        <f>$D$1506</f>
        <v>1.0000000000000002E-3</v>
      </c>
      <c r="E2138" s="509">
        <f>$E$1346</f>
        <v>0.01</v>
      </c>
      <c r="F2138" s="509">
        <f>$F$1366</f>
        <v>0.01</v>
      </c>
      <c r="G2138" s="509">
        <f>$G$1386</f>
        <v>0.01</v>
      </c>
      <c r="H2138" s="509">
        <f>$H$1406</f>
        <v>0.01</v>
      </c>
      <c r="I2138" s="509">
        <f>$I$1426</f>
        <v>0.01</v>
      </c>
      <c r="J2138" s="508" t="s">
        <v>84</v>
      </c>
    </row>
    <row r="2139" spans="1:10" ht="21" customHeight="1">
      <c r="A2139" s="507" t="s">
        <v>1329</v>
      </c>
      <c r="B2139" s="508" t="s">
        <v>1331</v>
      </c>
      <c r="C2139" s="508" t="s">
        <v>397</v>
      </c>
      <c r="D2139" s="509">
        <v>1.2E-2</v>
      </c>
      <c r="E2139" s="509">
        <v>1.2E-2</v>
      </c>
      <c r="F2139" s="509">
        <v>1.2E-2</v>
      </c>
      <c r="G2139" s="509">
        <v>1.2E-2</v>
      </c>
      <c r="H2139" s="509">
        <v>1.2E-2</v>
      </c>
      <c r="I2139" s="509">
        <f>'Cálculos Mayagüez'!AF18</f>
        <v>1.2E-2</v>
      </c>
      <c r="J2139" s="508"/>
    </row>
    <row r="2140" spans="1:10" ht="21" customHeight="1">
      <c r="A2140" s="507" t="s">
        <v>1329</v>
      </c>
      <c r="B2140" s="508" t="s">
        <v>1332</v>
      </c>
      <c r="C2140" s="508" t="s">
        <v>411</v>
      </c>
      <c r="D2140" s="509">
        <f>$D$2130</f>
        <v>333916</v>
      </c>
      <c r="E2140" s="509">
        <f>$E$2130</f>
        <v>308753</v>
      </c>
      <c r="F2140" s="509">
        <f>$F$2130</f>
        <v>474757</v>
      </c>
      <c r="G2140" s="509">
        <f>$G$2130</f>
        <v>523397</v>
      </c>
      <c r="H2140" s="509">
        <f>$H$2130</f>
        <v>185405</v>
      </c>
      <c r="I2140" s="509">
        <f>$I$2130</f>
        <v>118998</v>
      </c>
      <c r="J2140" s="508"/>
    </row>
    <row r="2141" spans="1:10" ht="21" customHeight="1">
      <c r="A2141" s="507" t="s">
        <v>1329</v>
      </c>
      <c r="B2141" s="508" t="s">
        <v>1333</v>
      </c>
      <c r="C2141" s="508" t="s">
        <v>397</v>
      </c>
      <c r="D2141" s="509">
        <v>0.13800000000000001</v>
      </c>
      <c r="E2141" s="509">
        <v>0.13800000000000001</v>
      </c>
      <c r="F2141" s="509">
        <v>0.13800000000000001</v>
      </c>
      <c r="G2141" s="509">
        <v>0.13800000000000001</v>
      </c>
      <c r="H2141" s="509">
        <v>0.13800000000000001</v>
      </c>
      <c r="I2141" s="509">
        <f>'Cálculos Mayagüez'!AJ18</f>
        <v>0.13800000000000001</v>
      </c>
      <c r="J2141" s="508"/>
    </row>
    <row r="2142" spans="1:10" ht="21" customHeight="1">
      <c r="A2142" s="507" t="s">
        <v>1329</v>
      </c>
      <c r="B2142" s="508" t="s">
        <v>564</v>
      </c>
      <c r="C2142" s="508" t="s">
        <v>397</v>
      </c>
      <c r="D2142" s="509">
        <v>1.2E-2</v>
      </c>
      <c r="E2142" s="509">
        <v>1.2E-2</v>
      </c>
      <c r="F2142" s="509">
        <v>1.2E-2</v>
      </c>
      <c r="G2142" s="509">
        <v>1.2E-2</v>
      </c>
      <c r="H2142" s="509">
        <v>1.2E-2</v>
      </c>
      <c r="I2142" s="509">
        <f>'Cálculos Mayagüez'!B18</f>
        <v>1.2E-2</v>
      </c>
      <c r="J2142" s="508"/>
    </row>
    <row r="2143" spans="1:10" ht="21" customHeight="1">
      <c r="A2143" s="507" t="s">
        <v>1329</v>
      </c>
      <c r="B2143" s="508" t="s">
        <v>565</v>
      </c>
      <c r="C2143" s="508" t="s">
        <v>411</v>
      </c>
      <c r="D2143" s="509">
        <f>$D$2131</f>
        <v>0</v>
      </c>
      <c r="E2143" s="509">
        <f>$E$2131</f>
        <v>0</v>
      </c>
      <c r="F2143" s="509">
        <f>$F$2131</f>
        <v>0</v>
      </c>
      <c r="G2143" s="509">
        <f>$G$2131</f>
        <v>0</v>
      </c>
      <c r="H2143" s="509">
        <f>$H$2131</f>
        <v>0</v>
      </c>
      <c r="I2143" s="509">
        <f>$I$2131</f>
        <v>1707</v>
      </c>
      <c r="J2143" s="508"/>
    </row>
    <row r="2144" spans="1:10" ht="21" customHeight="1">
      <c r="A2144" s="507" t="s">
        <v>1329</v>
      </c>
      <c r="B2144" s="508" t="s">
        <v>1270</v>
      </c>
      <c r="C2144" s="508" t="s">
        <v>397</v>
      </c>
      <c r="D2144" s="509">
        <v>0.13800000000000001</v>
      </c>
      <c r="E2144" s="509">
        <v>0.13800000000000001</v>
      </c>
      <c r="F2144" s="509">
        <v>0.13800000000000001</v>
      </c>
      <c r="G2144" s="509">
        <v>0.13800000000000001</v>
      </c>
      <c r="H2144" s="509">
        <v>0.13800000000000001</v>
      </c>
      <c r="I2144" s="509">
        <f>'Cálculos Mayagüez'!F18</f>
        <v>0.13800000000000001</v>
      </c>
      <c r="J2144" s="508"/>
    </row>
    <row r="2145" spans="1:10" ht="21" customHeight="1">
      <c r="A2145" s="507" t="s">
        <v>1329</v>
      </c>
      <c r="B2145" s="508" t="s">
        <v>898</v>
      </c>
      <c r="C2145" s="508" t="s">
        <v>397</v>
      </c>
      <c r="D2145" s="509">
        <v>1.2E-2</v>
      </c>
      <c r="E2145" s="509">
        <v>1.2E-2</v>
      </c>
      <c r="F2145" s="509">
        <v>1.2E-2</v>
      </c>
      <c r="G2145" s="509">
        <v>1.2E-2</v>
      </c>
      <c r="H2145" s="509">
        <v>1.2E-2</v>
      </c>
      <c r="I2145" s="509">
        <f>'Cálculos Mayagüez'!L18</f>
        <v>1.2E-2</v>
      </c>
      <c r="J2145" s="508"/>
    </row>
    <row r="2146" spans="1:10" ht="21" customHeight="1">
      <c r="A2146" s="507" t="s">
        <v>1329</v>
      </c>
      <c r="B2146" s="508" t="s">
        <v>899</v>
      </c>
      <c r="C2146" s="508" t="s">
        <v>411</v>
      </c>
      <c r="D2146" s="509">
        <f>$D$2132</f>
        <v>0</v>
      </c>
      <c r="E2146" s="509">
        <f>$E$2132</f>
        <v>1064</v>
      </c>
      <c r="F2146" s="509">
        <f>$F$2132</f>
        <v>0</v>
      </c>
      <c r="G2146" s="509">
        <f>$G$2132</f>
        <v>40010</v>
      </c>
      <c r="H2146" s="509">
        <f>$H$2132</f>
        <v>272996</v>
      </c>
      <c r="I2146" s="509">
        <f>$I$2132</f>
        <v>281873</v>
      </c>
      <c r="J2146" s="508"/>
    </row>
    <row r="2147" spans="1:10" ht="21" customHeight="1">
      <c r="A2147" s="507" t="s">
        <v>1329</v>
      </c>
      <c r="B2147" s="508" t="s">
        <v>1271</v>
      </c>
      <c r="C2147" s="508" t="s">
        <v>397</v>
      </c>
      <c r="D2147" s="509">
        <v>0.13800000000000001</v>
      </c>
      <c r="E2147" s="509">
        <v>0.13800000000000001</v>
      </c>
      <c r="F2147" s="509">
        <v>0.13800000000000001</v>
      </c>
      <c r="G2147" s="509">
        <v>0.13800000000000001</v>
      </c>
      <c r="H2147" s="509">
        <v>0.13800000000000001</v>
      </c>
      <c r="I2147" s="509">
        <f>'Cálculos Mayagüez'!P18</f>
        <v>0.13800000000000001</v>
      </c>
      <c r="J2147" s="508"/>
    </row>
    <row r="2148" spans="1:10" ht="21" customHeight="1">
      <c r="A2148" s="507" t="s">
        <v>1329</v>
      </c>
      <c r="B2148" s="508" t="s">
        <v>1334</v>
      </c>
      <c r="C2148" s="508" t="s">
        <v>397</v>
      </c>
      <c r="D2148" s="509">
        <v>1.2E-2</v>
      </c>
      <c r="E2148" s="509">
        <v>1.2E-2</v>
      </c>
      <c r="F2148" s="509">
        <v>1.2E-2</v>
      </c>
      <c r="G2148" s="509">
        <v>1.2E-2</v>
      </c>
      <c r="H2148" s="509">
        <v>1.2E-2</v>
      </c>
      <c r="I2148" s="509">
        <f>'Cálculos Mayagüez'!V18</f>
        <v>1.2E-2</v>
      </c>
      <c r="J2148" s="508"/>
    </row>
    <row r="2149" spans="1:10" ht="21" customHeight="1">
      <c r="A2149" s="507" t="s">
        <v>1329</v>
      </c>
      <c r="B2149" s="508" t="s">
        <v>1335</v>
      </c>
      <c r="C2149" s="508" t="s">
        <v>411</v>
      </c>
      <c r="D2149" s="509">
        <f>$D$2133</f>
        <v>373660</v>
      </c>
      <c r="E2149" s="509">
        <f>$E$2133</f>
        <v>290842</v>
      </c>
      <c r="F2149" s="509">
        <f>$F$2133</f>
        <v>374127</v>
      </c>
      <c r="G2149" s="509">
        <f>$G$2133</f>
        <v>198062</v>
      </c>
      <c r="H2149" s="509">
        <f>$H$2133</f>
        <v>191925</v>
      </c>
      <c r="I2149" s="509">
        <f>$I$2133</f>
        <v>705278</v>
      </c>
      <c r="J2149" s="508"/>
    </row>
    <row r="2150" spans="1:10" ht="21" customHeight="1">
      <c r="A2150" s="507" t="s">
        <v>1329</v>
      </c>
      <c r="B2150" s="508" t="s">
        <v>1336</v>
      </c>
      <c r="C2150" s="508" t="s">
        <v>397</v>
      </c>
      <c r="D2150" s="509">
        <v>0.13800000000000001</v>
      </c>
      <c r="E2150" s="509">
        <v>0.13800000000000001</v>
      </c>
      <c r="F2150" s="509">
        <v>0.13800000000000001</v>
      </c>
      <c r="G2150" s="509">
        <v>0.13800000000000001</v>
      </c>
      <c r="H2150" s="509">
        <v>0.13800000000000001</v>
      </c>
      <c r="I2150" s="509">
        <f>'Cálculos Mayagüez'!Z18</f>
        <v>0.13800000000000001</v>
      </c>
      <c r="J2150" s="508"/>
    </row>
    <row r="2151" spans="1:10" ht="21" customHeight="1">
      <c r="A2151" s="507" t="s">
        <v>1329</v>
      </c>
      <c r="B2151" s="508" t="s">
        <v>1337</v>
      </c>
      <c r="C2151" s="508" t="s">
        <v>397</v>
      </c>
      <c r="D2151" s="509">
        <v>2000</v>
      </c>
      <c r="E2151" s="509">
        <v>2000</v>
      </c>
      <c r="F2151" s="509">
        <v>2000</v>
      </c>
      <c r="G2151" s="509">
        <v>2000</v>
      </c>
      <c r="H2151" s="509">
        <v>2000</v>
      </c>
      <c r="I2151" s="509">
        <f>'Cálculos Mayagüez'!AB19</f>
        <v>2000</v>
      </c>
      <c r="J2151" s="508"/>
    </row>
    <row r="2152" spans="1:10" ht="21" customHeight="1">
      <c r="A2152" s="507" t="s">
        <v>1329</v>
      </c>
      <c r="B2152" s="508" t="s">
        <v>1338</v>
      </c>
      <c r="C2152" s="508" t="s">
        <v>397</v>
      </c>
      <c r="D2152" s="509">
        <v>2000</v>
      </c>
      <c r="E2152" s="509">
        <v>2000</v>
      </c>
      <c r="F2152" s="509">
        <v>2000</v>
      </c>
      <c r="G2152" s="509">
        <v>2000</v>
      </c>
      <c r="H2152" s="509">
        <v>2000</v>
      </c>
      <c r="I2152" s="509">
        <f>'Cálculos Mayagüez'!AL19</f>
        <v>2000</v>
      </c>
      <c r="J2152" s="508"/>
    </row>
    <row r="2153" spans="1:10" ht="21" customHeight="1">
      <c r="A2153" s="507" t="s">
        <v>1329</v>
      </c>
      <c r="B2153" s="508" t="s">
        <v>1272</v>
      </c>
      <c r="C2153" s="508" t="s">
        <v>397</v>
      </c>
      <c r="D2153" s="509">
        <v>2000</v>
      </c>
      <c r="E2153" s="509">
        <v>2000</v>
      </c>
      <c r="F2153" s="509">
        <v>2000</v>
      </c>
      <c r="G2153" s="509">
        <v>2000</v>
      </c>
      <c r="H2153" s="509">
        <v>2000</v>
      </c>
      <c r="I2153" s="509">
        <f>'Cálculos Mayagüez'!H19</f>
        <v>2000</v>
      </c>
      <c r="J2153" s="508"/>
    </row>
    <row r="2154" spans="1:10" ht="21" customHeight="1">
      <c r="A2154" s="507" t="s">
        <v>1329</v>
      </c>
      <c r="B2154" s="508" t="s">
        <v>1273</v>
      </c>
      <c r="C2154" s="508" t="s">
        <v>397</v>
      </c>
      <c r="D2154" s="509">
        <v>2000</v>
      </c>
      <c r="E2154" s="509">
        <v>2000</v>
      </c>
      <c r="F2154" s="509">
        <v>2000</v>
      </c>
      <c r="G2154" s="509">
        <v>2000</v>
      </c>
      <c r="H2154" s="509">
        <v>2000</v>
      </c>
      <c r="I2154" s="509">
        <f>'Cálculos Mayagüez'!R19</f>
        <v>2000</v>
      </c>
      <c r="J2154" s="508"/>
    </row>
    <row r="2155" spans="1:10" ht="21" customHeight="1">
      <c r="A2155" s="507" t="s">
        <v>1329</v>
      </c>
      <c r="B2155" s="508" t="s">
        <v>1339</v>
      </c>
      <c r="C2155" s="508" t="s">
        <v>411</v>
      </c>
      <c r="D2155" s="509">
        <f>($D$2139*$D$2140*$D$2141)/$D$2152</f>
        <v>0.27648244800000005</v>
      </c>
      <c r="E2155" s="509">
        <f>($E$2139*$E$2140*$E$2141)/$E$2152</f>
        <v>0.25564748400000004</v>
      </c>
      <c r="F2155" s="509">
        <f>($F$2139*$F$2140*$F$2141)/$F$2152</f>
        <v>0.39309879599999997</v>
      </c>
      <c r="G2155" s="509">
        <f>($G$2139*$G$2140*$G$2141)/$G$2152</f>
        <v>0.43337271600000005</v>
      </c>
      <c r="H2155" s="509">
        <f>($H$2139*$H$2140*$H$2141)/$H$2152</f>
        <v>0.15351534</v>
      </c>
      <c r="I2155" s="509">
        <f>($I$2139*$I$2140*$I$2141)/$I$2152</f>
        <v>9.853034400000002E-2</v>
      </c>
      <c r="J2155" s="508"/>
    </row>
    <row r="2156" spans="1:10" ht="21" customHeight="1">
      <c r="A2156" s="507" t="s">
        <v>1329</v>
      </c>
      <c r="B2156" s="508" t="s">
        <v>1131</v>
      </c>
      <c r="C2156" s="508" t="s">
        <v>411</v>
      </c>
      <c r="D2156" s="509">
        <f>($D$2142*$D$2143*$D$2144)/$D$2153</f>
        <v>0</v>
      </c>
      <c r="E2156" s="509">
        <f>($E$2142*$E$2143*$E$2144)/$E$2153</f>
        <v>0</v>
      </c>
      <c r="F2156" s="509">
        <f>($F$2142*$F$2143*$F$2144)/$F$2153</f>
        <v>0</v>
      </c>
      <c r="G2156" s="509">
        <f>($G$2142*$G$2143*$G$2144)/$G$2153</f>
        <v>0</v>
      </c>
      <c r="H2156" s="509">
        <f>($H$2142*$H$2143*$H$2144)/$H$2153</f>
        <v>0</v>
      </c>
      <c r="I2156" s="509">
        <f>($I$2142*$I$2143*$I$2144)/$I$2153</f>
        <v>1.4133960000000004E-3</v>
      </c>
      <c r="J2156" s="508"/>
    </row>
    <row r="2157" spans="1:10" ht="21" customHeight="1">
      <c r="A2157" s="507" t="s">
        <v>1329</v>
      </c>
      <c r="B2157" s="508" t="s">
        <v>1274</v>
      </c>
      <c r="C2157" s="508" t="s">
        <v>411</v>
      </c>
      <c r="D2157" s="509">
        <f>($D$2145*$D$2146*$D$2147)/$D$2154</f>
        <v>0</v>
      </c>
      <c r="E2157" s="509">
        <f>($E$2145*$E$2146*$E$2147)/$E$2154</f>
        <v>8.8099200000000015E-4</v>
      </c>
      <c r="F2157" s="509">
        <f>($F$2145*$F$2146*$F$2147)/$F$2154</f>
        <v>0</v>
      </c>
      <c r="G2157" s="509">
        <f>($G$2145*$G$2146*$G$2147)/$G$2154</f>
        <v>3.3128280000000003E-2</v>
      </c>
      <c r="H2157" s="509">
        <f>($H$2145*$H$2146*$H$2147)/$H$2154</f>
        <v>0.22604068800000005</v>
      </c>
      <c r="I2157" s="509">
        <f>($I$2145*$I$2146*$I$2147)/$I$2154</f>
        <v>0.23339084400000001</v>
      </c>
      <c r="J2157" s="508"/>
    </row>
    <row r="2158" spans="1:10" ht="21" customHeight="1">
      <c r="A2158" s="507" t="s">
        <v>1329</v>
      </c>
      <c r="B2158" s="508" t="s">
        <v>1340</v>
      </c>
      <c r="C2158" s="508" t="s">
        <v>411</v>
      </c>
      <c r="D2158" s="509">
        <f>($D$2148*$D$2149*$D$2150)/$D$2151</f>
        <v>0.30939048000000002</v>
      </c>
      <c r="E2158" s="509">
        <f>($E$2148*$E$2149*$E$2150)/$E$2151</f>
        <v>0.24081717600000005</v>
      </c>
      <c r="F2158" s="509">
        <f>($F$2148*$F$2149*$F$2150)/$F$2151</f>
        <v>0.30977715600000005</v>
      </c>
      <c r="G2158" s="509">
        <f>($G$2148*$G$2149*$G$2150)/$G$2151</f>
        <v>0.16399533600000005</v>
      </c>
      <c r="H2158" s="509">
        <f>($H$2148*$H$2149*$H$2150)/$H$2151</f>
        <v>0.15891390000000002</v>
      </c>
      <c r="I2158" s="509">
        <f>($I$2148*$I$2149*$I$2150)/$I$2151</f>
        <v>0.583970184</v>
      </c>
      <c r="J2158" s="508"/>
    </row>
    <row r="2159" spans="1:10" ht="21" customHeight="1">
      <c r="A2159" s="507" t="s">
        <v>1329</v>
      </c>
      <c r="B2159" s="508" t="s">
        <v>1341</v>
      </c>
      <c r="C2159" s="508" t="s">
        <v>411</v>
      </c>
      <c r="D2159" s="509">
        <f>1.01*$D$2134</f>
        <v>1.0100000000000003E-3</v>
      </c>
      <c r="E2159" s="509">
        <f>1.01*$E$2134</f>
        <v>1.01E-2</v>
      </c>
      <c r="F2159" s="509">
        <f>1.01*$F$2134</f>
        <v>1.01E-2</v>
      </c>
      <c r="G2159" s="509">
        <f>1.01*$G$2134</f>
        <v>1.01E-2</v>
      </c>
      <c r="H2159" s="509">
        <f>1.01*$H$2134</f>
        <v>1.01E-2</v>
      </c>
      <c r="I2159" s="509">
        <f>1.01*$I$2134</f>
        <v>1.01E-2</v>
      </c>
      <c r="J2159" s="508"/>
    </row>
    <row r="2160" spans="1:10" ht="21" customHeight="1">
      <c r="A2160" s="507" t="s">
        <v>1329</v>
      </c>
      <c r="B2160" s="508" t="s">
        <v>1342</v>
      </c>
      <c r="C2160" s="508" t="s">
        <v>411</v>
      </c>
      <c r="D2160" s="509">
        <f>$D$2130</f>
        <v>333916</v>
      </c>
      <c r="E2160" s="509">
        <f>$E$2130</f>
        <v>308753</v>
      </c>
      <c r="F2160" s="509">
        <f>$F$2130</f>
        <v>474757</v>
      </c>
      <c r="G2160" s="509">
        <f>$G$2130</f>
        <v>523397</v>
      </c>
      <c r="H2160" s="509">
        <f>$H$2130</f>
        <v>185405</v>
      </c>
      <c r="I2160" s="509">
        <f>$I$2130</f>
        <v>118998</v>
      </c>
      <c r="J2160" s="508"/>
    </row>
    <row r="2161" spans="1:10" ht="21" customHeight="1">
      <c r="A2161" s="507" t="s">
        <v>1329</v>
      </c>
      <c r="B2161" s="508" t="s">
        <v>1343</v>
      </c>
      <c r="C2161" s="508" t="s">
        <v>397</v>
      </c>
      <c r="D2161" s="509">
        <v>0.13800000000000001</v>
      </c>
      <c r="E2161" s="509">
        <v>0.13800000000000001</v>
      </c>
      <c r="F2161" s="509">
        <v>0.13800000000000001</v>
      </c>
      <c r="G2161" s="509">
        <v>0.13800000000000001</v>
      </c>
      <c r="H2161" s="509">
        <v>0.13800000000000001</v>
      </c>
      <c r="I2161" s="509">
        <f>'Cálculos Mayagüez'!AJ26</f>
        <v>0.13800000000000001</v>
      </c>
      <c r="J2161" s="508"/>
    </row>
    <row r="2162" spans="1:10" ht="21" customHeight="1">
      <c r="A2162" s="507" t="s">
        <v>1329</v>
      </c>
      <c r="B2162" s="508" t="s">
        <v>501</v>
      </c>
      <c r="C2162" s="508" t="s">
        <v>411</v>
      </c>
      <c r="D2162" s="509">
        <f>1.01*$D$2136</f>
        <v>1.0100000000000003E-3</v>
      </c>
      <c r="E2162" s="509">
        <f>1.01*$E$2136</f>
        <v>1.01E-2</v>
      </c>
      <c r="F2162" s="509">
        <f>1.01*$F$2136</f>
        <v>1.01E-2</v>
      </c>
      <c r="G2162" s="509">
        <f>1.01*$G$2136</f>
        <v>1.01E-2</v>
      </c>
      <c r="H2162" s="509">
        <f>1.01*$H$2136</f>
        <v>1.01E-2</v>
      </c>
      <c r="I2162" s="509">
        <f>1.01*$I$2136</f>
        <v>1.01E-2</v>
      </c>
      <c r="J2162" s="508"/>
    </row>
    <row r="2163" spans="1:10" ht="21" customHeight="1">
      <c r="A2163" s="507" t="s">
        <v>1329</v>
      </c>
      <c r="B2163" s="508" t="s">
        <v>503</v>
      </c>
      <c r="C2163" s="508" t="s">
        <v>411</v>
      </c>
      <c r="D2163" s="509">
        <f>$D$2131</f>
        <v>0</v>
      </c>
      <c r="E2163" s="509">
        <f>$E$2131</f>
        <v>0</v>
      </c>
      <c r="F2163" s="509">
        <f>$F$2131</f>
        <v>0</v>
      </c>
      <c r="G2163" s="509">
        <f>$G$2131</f>
        <v>0</v>
      </c>
      <c r="H2163" s="509">
        <f>$H$2131</f>
        <v>0</v>
      </c>
      <c r="I2163" s="509">
        <f>$I$2131</f>
        <v>1707</v>
      </c>
      <c r="J2163" s="508"/>
    </row>
    <row r="2164" spans="1:10" ht="21" customHeight="1">
      <c r="A2164" s="507" t="s">
        <v>1329</v>
      </c>
      <c r="B2164" s="508" t="s">
        <v>705</v>
      </c>
      <c r="C2164" s="508" t="s">
        <v>397</v>
      </c>
      <c r="D2164" s="509">
        <v>0.13800000000000001</v>
      </c>
      <c r="E2164" s="509">
        <v>0.13800000000000001</v>
      </c>
      <c r="F2164" s="509">
        <v>0.13800000000000001</v>
      </c>
      <c r="G2164" s="509">
        <v>0.13800000000000001</v>
      </c>
      <c r="H2164" s="509">
        <v>0.13800000000000001</v>
      </c>
      <c r="I2164" s="509">
        <f>'Cálculos Mayagüez'!F26</f>
        <v>0.13800000000000001</v>
      </c>
      <c r="J2164" s="508"/>
    </row>
    <row r="2165" spans="1:10" ht="21" customHeight="1">
      <c r="A2165" s="507" t="s">
        <v>1329</v>
      </c>
      <c r="B2165" s="508" t="s">
        <v>792</v>
      </c>
      <c r="C2165" s="508" t="s">
        <v>411</v>
      </c>
      <c r="D2165" s="509">
        <f>1.01*$D$2137</f>
        <v>1.0100000000000003E-3</v>
      </c>
      <c r="E2165" s="509">
        <f>1.01*$E$2137</f>
        <v>1.01E-2</v>
      </c>
      <c r="F2165" s="509">
        <f>1.01*$F$2137</f>
        <v>1.01E-2</v>
      </c>
      <c r="G2165" s="509">
        <f>1.01*$G$2137</f>
        <v>1.01E-2</v>
      </c>
      <c r="H2165" s="509">
        <f>1.01*$H$2137</f>
        <v>1.01E-2</v>
      </c>
      <c r="I2165" s="509">
        <f>1.01*$I$2137</f>
        <v>1.01E-2</v>
      </c>
      <c r="J2165" s="508"/>
    </row>
    <row r="2166" spans="1:10" ht="21" customHeight="1">
      <c r="A2166" s="507" t="s">
        <v>1329</v>
      </c>
      <c r="B2166" s="508" t="s">
        <v>707</v>
      </c>
      <c r="C2166" s="508" t="s">
        <v>411</v>
      </c>
      <c r="D2166" s="509">
        <f>$D$2132</f>
        <v>0</v>
      </c>
      <c r="E2166" s="509">
        <f>$E$2132</f>
        <v>1064</v>
      </c>
      <c r="F2166" s="509">
        <f>$F$2132</f>
        <v>0</v>
      </c>
      <c r="G2166" s="509">
        <f>$G$2132</f>
        <v>40010</v>
      </c>
      <c r="H2166" s="509">
        <f>$H$2132</f>
        <v>272996</v>
      </c>
      <c r="I2166" s="509">
        <f>$I$2132</f>
        <v>281873</v>
      </c>
      <c r="J2166" s="508"/>
    </row>
    <row r="2167" spans="1:10" ht="21" customHeight="1">
      <c r="A2167" s="507" t="s">
        <v>1329</v>
      </c>
      <c r="B2167" s="508" t="s">
        <v>793</v>
      </c>
      <c r="C2167" s="508" t="s">
        <v>397</v>
      </c>
      <c r="D2167" s="509">
        <v>0.13800000000000001</v>
      </c>
      <c r="E2167" s="509">
        <v>0.13800000000000001</v>
      </c>
      <c r="F2167" s="509">
        <v>0.13800000000000001</v>
      </c>
      <c r="G2167" s="509">
        <v>0.13800000000000001</v>
      </c>
      <c r="H2167" s="509">
        <v>0.13800000000000001</v>
      </c>
      <c r="I2167" s="509">
        <f>'Cálculos Mayagüez'!P26</f>
        <v>0.13800000000000001</v>
      </c>
      <c r="J2167" s="508"/>
    </row>
    <row r="2168" spans="1:10" ht="21" customHeight="1">
      <c r="A2168" s="507" t="s">
        <v>1329</v>
      </c>
      <c r="B2168" s="508" t="s">
        <v>1344</v>
      </c>
      <c r="C2168" s="508" t="s">
        <v>411</v>
      </c>
      <c r="D2168" s="509">
        <f>1.01*$D$2138</f>
        <v>1.0100000000000003E-3</v>
      </c>
      <c r="E2168" s="509">
        <f>1.01*$E$2138</f>
        <v>1.01E-2</v>
      </c>
      <c r="F2168" s="509">
        <f>1.01*$F$2138</f>
        <v>1.01E-2</v>
      </c>
      <c r="G2168" s="509">
        <f>1.01*$G$2138</f>
        <v>1.01E-2</v>
      </c>
      <c r="H2168" s="509">
        <f>1.01*$H$2138</f>
        <v>1.01E-2</v>
      </c>
      <c r="I2168" s="509">
        <f>1.01*$I$2138</f>
        <v>1.01E-2</v>
      </c>
      <c r="J2168" s="508"/>
    </row>
    <row r="2169" spans="1:10" ht="21" customHeight="1">
      <c r="A2169" s="507" t="s">
        <v>1329</v>
      </c>
      <c r="B2169" s="508" t="s">
        <v>1345</v>
      </c>
      <c r="C2169" s="508" t="s">
        <v>411</v>
      </c>
      <c r="D2169" s="509">
        <f>$D$2133</f>
        <v>373660</v>
      </c>
      <c r="E2169" s="509">
        <f>$E$2133</f>
        <v>290842</v>
      </c>
      <c r="F2169" s="509">
        <f>$F$2133</f>
        <v>374127</v>
      </c>
      <c r="G2169" s="509">
        <f>$G$2133</f>
        <v>198062</v>
      </c>
      <c r="H2169" s="509">
        <f>$H$2133</f>
        <v>191925</v>
      </c>
      <c r="I2169" s="509">
        <f>$I$2133</f>
        <v>705278</v>
      </c>
      <c r="J2169" s="508"/>
    </row>
    <row r="2170" spans="1:10" ht="21" customHeight="1">
      <c r="A2170" s="507" t="s">
        <v>1329</v>
      </c>
      <c r="B2170" s="508" t="s">
        <v>1346</v>
      </c>
      <c r="C2170" s="508" t="s">
        <v>397</v>
      </c>
      <c r="D2170" s="509">
        <v>0.13800000000000001</v>
      </c>
      <c r="E2170" s="509">
        <v>0.13800000000000001</v>
      </c>
      <c r="F2170" s="509">
        <v>0.13800000000000001</v>
      </c>
      <c r="G2170" s="509">
        <v>0.13800000000000001</v>
      </c>
      <c r="H2170" s="509">
        <v>0.13800000000000001</v>
      </c>
      <c r="I2170" s="509">
        <f>'Cálculos Mayagüez'!Z26</f>
        <v>0.13800000000000001</v>
      </c>
      <c r="J2170" s="508"/>
    </row>
    <row r="2171" spans="1:10" ht="21" customHeight="1">
      <c r="A2171" s="507" t="s">
        <v>1329</v>
      </c>
      <c r="B2171" s="508" t="s">
        <v>1347</v>
      </c>
      <c r="C2171" s="508" t="s">
        <v>397</v>
      </c>
      <c r="D2171" s="509">
        <v>2000</v>
      </c>
      <c r="E2171" s="509">
        <v>2000</v>
      </c>
      <c r="F2171" s="509">
        <v>2000</v>
      </c>
      <c r="G2171" s="509">
        <v>2000</v>
      </c>
      <c r="H2171" s="509">
        <v>2000</v>
      </c>
      <c r="I2171" s="509">
        <f>'Cálculos Mayagüez'!AB27</f>
        <v>2000</v>
      </c>
      <c r="J2171" s="508"/>
    </row>
    <row r="2172" spans="1:10" ht="21" customHeight="1">
      <c r="A2172" s="507" t="s">
        <v>1329</v>
      </c>
      <c r="B2172" s="508" t="s">
        <v>1348</v>
      </c>
      <c r="C2172" s="508" t="s">
        <v>397</v>
      </c>
      <c r="D2172" s="509">
        <v>2000</v>
      </c>
      <c r="E2172" s="509">
        <v>2000</v>
      </c>
      <c r="F2172" s="509">
        <v>2000</v>
      </c>
      <c r="G2172" s="509">
        <v>2000</v>
      </c>
      <c r="H2172" s="509">
        <v>2000</v>
      </c>
      <c r="I2172" s="509">
        <f>'Cálculos Mayagüez'!AL27</f>
        <v>2000</v>
      </c>
      <c r="J2172" s="508"/>
    </row>
    <row r="2173" spans="1:10" ht="21" customHeight="1">
      <c r="A2173" s="507" t="s">
        <v>1329</v>
      </c>
      <c r="B2173" s="508" t="s">
        <v>795</v>
      </c>
      <c r="C2173" s="508" t="s">
        <v>397</v>
      </c>
      <c r="D2173" s="509">
        <v>2000</v>
      </c>
      <c r="E2173" s="509">
        <v>2000</v>
      </c>
      <c r="F2173" s="509">
        <v>2000</v>
      </c>
      <c r="G2173" s="509">
        <v>2000</v>
      </c>
      <c r="H2173" s="509">
        <v>2000</v>
      </c>
      <c r="I2173" s="509">
        <f>'Cálculos Mayagüez'!H27</f>
        <v>2000</v>
      </c>
      <c r="J2173" s="508"/>
    </row>
    <row r="2174" spans="1:10" ht="21" customHeight="1">
      <c r="A2174" s="507" t="s">
        <v>1329</v>
      </c>
      <c r="B2174" s="508" t="s">
        <v>803</v>
      </c>
      <c r="C2174" s="508" t="s">
        <v>397</v>
      </c>
      <c r="D2174" s="509">
        <v>2000</v>
      </c>
      <c r="E2174" s="509">
        <v>2000</v>
      </c>
      <c r="F2174" s="509">
        <v>2000</v>
      </c>
      <c r="G2174" s="509">
        <v>2000</v>
      </c>
      <c r="H2174" s="509">
        <v>2000</v>
      </c>
      <c r="I2174" s="509">
        <f>'Cálculos Mayagüez'!R27</f>
        <v>2000</v>
      </c>
      <c r="J2174" s="508"/>
    </row>
    <row r="2175" spans="1:10" ht="21" customHeight="1">
      <c r="A2175" s="507" t="s">
        <v>1329</v>
      </c>
      <c r="B2175" s="508" t="s">
        <v>1349</v>
      </c>
      <c r="C2175" s="508" t="s">
        <v>411</v>
      </c>
      <c r="D2175" s="509">
        <f>($D$2159*$D$2160*$D$2161)/$D$2172</f>
        <v>2.3270606040000006E-2</v>
      </c>
      <c r="E2175" s="509">
        <f>($E$2159*$E$2160*$E$2161)/$E$2172</f>
        <v>0.21516996569999999</v>
      </c>
      <c r="F2175" s="509">
        <f>($F$2159*$F$2160*$F$2161)/$F$2172</f>
        <v>0.33085815330000001</v>
      </c>
      <c r="G2175" s="509">
        <f>($G$2159*$G$2160*$G$2161)/$G$2172</f>
        <v>0.36475536930000002</v>
      </c>
      <c r="H2175" s="509">
        <f>($H$2159*$H$2160*$H$2161)/$H$2172</f>
        <v>0.12920874450000003</v>
      </c>
      <c r="I2175" s="509">
        <f>($I$2159*$I$2160*$I$2161)/$I$2172</f>
        <v>8.2929706199999995E-2</v>
      </c>
      <c r="J2175" s="508"/>
    </row>
    <row r="2176" spans="1:10" ht="21" customHeight="1">
      <c r="A2176" s="507" t="s">
        <v>1329</v>
      </c>
      <c r="B2176" s="508" t="s">
        <v>513</v>
      </c>
      <c r="C2176" s="508" t="s">
        <v>411</v>
      </c>
      <c r="D2176" s="509">
        <f>($D$2162*$D$2163*$D$2164)/$D$2173</f>
        <v>0</v>
      </c>
      <c r="E2176" s="509">
        <f>($E$2162*$E$2163*$E$2164)/$E$2173</f>
        <v>0</v>
      </c>
      <c r="F2176" s="509">
        <f>($F$2162*$F$2163*$F$2164)/$F$2173</f>
        <v>0</v>
      </c>
      <c r="G2176" s="509">
        <f>($G$2162*$G$2163*$G$2164)/$G$2173</f>
        <v>0</v>
      </c>
      <c r="H2176" s="509">
        <f>($H$2162*$H$2163*$H$2164)/$H$2173</f>
        <v>0</v>
      </c>
      <c r="I2176" s="509">
        <f>($I$2162*$I$2163*$I$2164)/$I$2173</f>
        <v>1.1896083000000001E-3</v>
      </c>
      <c r="J2176" s="508"/>
    </row>
    <row r="2177" spans="1:10" ht="21" customHeight="1">
      <c r="A2177" s="507" t="s">
        <v>1329</v>
      </c>
      <c r="B2177" s="508" t="s">
        <v>1275</v>
      </c>
      <c r="C2177" s="508" t="s">
        <v>411</v>
      </c>
      <c r="D2177" s="509">
        <f>($D$2165*$D$2166*$D$2167)/$D$2174</f>
        <v>0</v>
      </c>
      <c r="E2177" s="509">
        <f>($E$2165*$E$2166*$E$2167)/$E$2174</f>
        <v>7.4150159999999998E-4</v>
      </c>
      <c r="F2177" s="509">
        <f>($F$2165*$F$2166*$F$2167)/$F$2174</f>
        <v>0</v>
      </c>
      <c r="G2177" s="509">
        <f>($G$2165*$G$2166*$G$2167)/$G$2174</f>
        <v>2.7882969000000004E-2</v>
      </c>
      <c r="H2177" s="509">
        <f>($H$2165*$H$2166*$H$2167)/$H$2174</f>
        <v>0.1902509124</v>
      </c>
      <c r="I2177" s="509">
        <f>($I$2165*$I$2166*$I$2167)/$I$2174</f>
        <v>0.19643729370000002</v>
      </c>
      <c r="J2177" s="508"/>
    </row>
    <row r="2178" spans="1:10" ht="21" customHeight="1">
      <c r="A2178" s="507" t="s">
        <v>1329</v>
      </c>
      <c r="B2178" s="508" t="s">
        <v>1350</v>
      </c>
      <c r="C2178" s="508" t="s">
        <v>411</v>
      </c>
      <c r="D2178" s="509">
        <f>($D$2168*$D$2169*$D$2170)/$D$2171</f>
        <v>2.6040365400000008E-2</v>
      </c>
      <c r="E2178" s="509">
        <f>($E$2168*$E$2169*$E$2170)/$E$2171</f>
        <v>0.20268778980000002</v>
      </c>
      <c r="F2178" s="509">
        <f>($F$2168*$F$2169*$F$2170)/$F$2171</f>
        <v>0.26072910630000001</v>
      </c>
      <c r="G2178" s="509">
        <f>($G$2168*$G$2169*$G$2170)/$G$2171</f>
        <v>0.1380294078</v>
      </c>
      <c r="H2178" s="509">
        <f>($H$2168*$H$2169*$H$2170)/$H$2171</f>
        <v>0.13375253249999999</v>
      </c>
      <c r="I2178" s="509">
        <f>($I$2168*$I$2169*$I$2170)/$I$2171</f>
        <v>0.4915082382</v>
      </c>
      <c r="J2178" s="508"/>
    </row>
    <row r="2179" spans="1:10" ht="21" customHeight="1">
      <c r="A2179" s="507" t="s">
        <v>1329</v>
      </c>
      <c r="B2179" s="508" t="s">
        <v>1351</v>
      </c>
      <c r="C2179" s="508" t="s">
        <v>411</v>
      </c>
      <c r="D2179" s="509">
        <f>74*20.9/5.9*9190*0.0000001194</f>
        <v>0.28763771654237286</v>
      </c>
      <c r="E2179" s="509">
        <f>74*20.9/5.9*9190*0.0000001194</f>
        <v>0.28763771654237286</v>
      </c>
      <c r="F2179" s="509">
        <f>74*20.9/5.9*9190*0.0000001194</f>
        <v>0.28763771654237286</v>
      </c>
      <c r="G2179" s="509">
        <f>74*20.9/5.9*9190*0.0000001194</f>
        <v>0.28763771654237286</v>
      </c>
      <c r="H2179" s="509">
        <f>74*20.9/5.9*9190*0.0000001194</f>
        <v>0.28763771654237286</v>
      </c>
      <c r="I2179" s="509">
        <f>74*20.9/5.9*9190*0.0000001194</f>
        <v>0.28763771654237286</v>
      </c>
      <c r="J2179" s="508"/>
    </row>
    <row r="2180" spans="1:10" ht="21" customHeight="1">
      <c r="A2180" s="507" t="s">
        <v>1329</v>
      </c>
      <c r="B2180" s="508" t="s">
        <v>1352</v>
      </c>
      <c r="C2180" s="508" t="s">
        <v>411</v>
      </c>
      <c r="D2180" s="509">
        <f>$D$2130</f>
        <v>333916</v>
      </c>
      <c r="E2180" s="509">
        <f>$E$2130</f>
        <v>308753</v>
      </c>
      <c r="F2180" s="509">
        <f>$F$2130</f>
        <v>474757</v>
      </c>
      <c r="G2180" s="509">
        <f>$G$2130</f>
        <v>523397</v>
      </c>
      <c r="H2180" s="509">
        <f>$H$2130</f>
        <v>185405</v>
      </c>
      <c r="I2180" s="509">
        <f>$I$2130</f>
        <v>118998</v>
      </c>
      <c r="J2180" s="508"/>
    </row>
    <row r="2181" spans="1:10" ht="21" customHeight="1">
      <c r="A2181" s="507" t="s">
        <v>1329</v>
      </c>
      <c r="B2181" s="508" t="s">
        <v>1353</v>
      </c>
      <c r="C2181" s="508" t="s">
        <v>397</v>
      </c>
      <c r="D2181" s="509">
        <v>0.13800000000000001</v>
      </c>
      <c r="E2181" s="509">
        <v>0.13800000000000001</v>
      </c>
      <c r="F2181" s="509">
        <v>0.13800000000000001</v>
      </c>
      <c r="G2181" s="509">
        <v>0.13800000000000001</v>
      </c>
      <c r="H2181" s="509">
        <v>0.13800000000000001</v>
      </c>
      <c r="I2181" s="509">
        <f>'Cálculos Mayagüez'!AJ34</f>
        <v>0.13800000000000001</v>
      </c>
      <c r="J2181" s="508"/>
    </row>
    <row r="2182" spans="1:10" ht="21" customHeight="1">
      <c r="A2182" s="507" t="s">
        <v>1329</v>
      </c>
      <c r="B2182" s="508" t="s">
        <v>721</v>
      </c>
      <c r="C2182" s="508" t="s">
        <v>411</v>
      </c>
      <c r="D2182" s="509">
        <f>74*20.9/5.9*9190*0.0000001194</f>
        <v>0.28763771654237286</v>
      </c>
      <c r="E2182" s="509">
        <f>74*20.9/5.9*9190*0.0000001194</f>
        <v>0.28763771654237286</v>
      </c>
      <c r="F2182" s="509">
        <f>74*20.9/5.9*9190*0.0000001194</f>
        <v>0.28763771654237286</v>
      </c>
      <c r="G2182" s="509">
        <f>74*20.9/5.9*9190*0.0000001194</f>
        <v>0.28763771654237286</v>
      </c>
      <c r="H2182" s="509">
        <f>74*20.9/5.9*9190*0.0000001194</f>
        <v>0.28763771654237286</v>
      </c>
      <c r="I2182" s="509">
        <f>74*20.9/5.9*9190*0.0000001194</f>
        <v>0.28763771654237286</v>
      </c>
      <c r="J2182" s="508"/>
    </row>
    <row r="2183" spans="1:10" ht="21" customHeight="1">
      <c r="A2183" s="507" t="s">
        <v>1329</v>
      </c>
      <c r="B2183" s="508" t="s">
        <v>1354</v>
      </c>
      <c r="C2183" s="508" t="s">
        <v>411</v>
      </c>
      <c r="D2183" s="509">
        <f>$D$2131</f>
        <v>0</v>
      </c>
      <c r="E2183" s="509">
        <f>$E$2131</f>
        <v>0</v>
      </c>
      <c r="F2183" s="509">
        <f>$F$2131</f>
        <v>0</v>
      </c>
      <c r="G2183" s="509">
        <f>$G$2131</f>
        <v>0</v>
      </c>
      <c r="H2183" s="509">
        <f>$H$2131</f>
        <v>0</v>
      </c>
      <c r="I2183" s="509">
        <f>$I$2131</f>
        <v>1707</v>
      </c>
      <c r="J2183" s="508"/>
    </row>
    <row r="2184" spans="1:10" ht="21" customHeight="1">
      <c r="A2184" s="507" t="s">
        <v>1329</v>
      </c>
      <c r="B2184" s="508" t="s">
        <v>1355</v>
      </c>
      <c r="C2184" s="508" t="s">
        <v>397</v>
      </c>
      <c r="D2184" s="509">
        <v>0.13800000000000001</v>
      </c>
      <c r="E2184" s="509">
        <v>0.13800000000000001</v>
      </c>
      <c r="F2184" s="509">
        <v>0.13800000000000001</v>
      </c>
      <c r="G2184" s="509">
        <v>0.13800000000000001</v>
      </c>
      <c r="H2184" s="509">
        <v>0.13800000000000001</v>
      </c>
      <c r="I2184" s="509">
        <f>'Cálculos Mayagüez'!F34</f>
        <v>0.13800000000000001</v>
      </c>
      <c r="J2184" s="508"/>
    </row>
    <row r="2185" spans="1:10" ht="21" customHeight="1">
      <c r="A2185" s="507" t="s">
        <v>1329</v>
      </c>
      <c r="B2185" s="508" t="s">
        <v>1356</v>
      </c>
      <c r="C2185" s="508" t="s">
        <v>411</v>
      </c>
      <c r="D2185" s="509">
        <f>74*20.9/5.9*9190*0.0000001194</f>
        <v>0.28763771654237286</v>
      </c>
      <c r="E2185" s="509">
        <f>74*20.9/5.9*9190*0.0000001194</f>
        <v>0.28763771654237286</v>
      </c>
      <c r="F2185" s="509">
        <f>74*20.9/5.9*9190*0.0000001194</f>
        <v>0.28763771654237286</v>
      </c>
      <c r="G2185" s="509">
        <f>74*20.9/5.9*9190*0.0000001194</f>
        <v>0.28763771654237286</v>
      </c>
      <c r="H2185" s="509">
        <f>74*20.9/5.9*9190*0.0000001194</f>
        <v>0.28763771654237286</v>
      </c>
      <c r="I2185" s="509">
        <f>74*20.9/5.9*9190*0.0000001194</f>
        <v>0.28763771654237286</v>
      </c>
      <c r="J2185" s="508"/>
    </row>
    <row r="2186" spans="1:10" ht="21" customHeight="1">
      <c r="A2186" s="507" t="s">
        <v>1329</v>
      </c>
      <c r="B2186" s="508" t="s">
        <v>1357</v>
      </c>
      <c r="C2186" s="508" t="s">
        <v>411</v>
      </c>
      <c r="D2186" s="509">
        <f>$D$2132</f>
        <v>0</v>
      </c>
      <c r="E2186" s="509">
        <f>$E$2132</f>
        <v>1064</v>
      </c>
      <c r="F2186" s="509">
        <f>$F$2132</f>
        <v>0</v>
      </c>
      <c r="G2186" s="509">
        <f>$G$2132</f>
        <v>40010</v>
      </c>
      <c r="H2186" s="509">
        <f>$H$2132</f>
        <v>272996</v>
      </c>
      <c r="I2186" s="509">
        <f>$I$2132</f>
        <v>281873</v>
      </c>
      <c r="J2186" s="508"/>
    </row>
    <row r="2187" spans="1:10" ht="21" customHeight="1">
      <c r="A2187" s="507" t="s">
        <v>1329</v>
      </c>
      <c r="B2187" s="508" t="s">
        <v>1358</v>
      </c>
      <c r="C2187" s="508" t="s">
        <v>397</v>
      </c>
      <c r="D2187" s="509">
        <v>0.13800000000000001</v>
      </c>
      <c r="E2187" s="509">
        <v>0.13800000000000001</v>
      </c>
      <c r="F2187" s="509">
        <v>0.13800000000000001</v>
      </c>
      <c r="G2187" s="509">
        <v>0.13800000000000001</v>
      </c>
      <c r="H2187" s="509">
        <v>0.13800000000000001</v>
      </c>
      <c r="I2187" s="509">
        <f>'Cálculos Mayagüez'!P34</f>
        <v>0.13800000000000001</v>
      </c>
      <c r="J2187" s="508"/>
    </row>
    <row r="2188" spans="1:10" ht="21" customHeight="1">
      <c r="A2188" s="507" t="s">
        <v>1329</v>
      </c>
      <c r="B2188" s="508" t="s">
        <v>1359</v>
      </c>
      <c r="C2188" s="508" t="s">
        <v>411</v>
      </c>
      <c r="D2188" s="509">
        <f>74*20.9/5.9*9190*0.0000001194</f>
        <v>0.28763771654237286</v>
      </c>
      <c r="E2188" s="509">
        <f>74*20.9/5.9*9190*0.0000001194</f>
        <v>0.28763771654237286</v>
      </c>
      <c r="F2188" s="509">
        <f>74*20.9/5.9*9190*0.0000001194</f>
        <v>0.28763771654237286</v>
      </c>
      <c r="G2188" s="509">
        <f>74*20.9/5.9*9190*0.0000001194</f>
        <v>0.28763771654237286</v>
      </c>
      <c r="H2188" s="509">
        <f>74*20.9/5.9*9190*0.0000001194</f>
        <v>0.28763771654237286</v>
      </c>
      <c r="I2188" s="509">
        <f>74*20.9/5.9*9190*0.0000001194</f>
        <v>0.28763771654237286</v>
      </c>
      <c r="J2188" s="508"/>
    </row>
    <row r="2189" spans="1:10" ht="21" customHeight="1">
      <c r="A2189" s="507" t="s">
        <v>1329</v>
      </c>
      <c r="B2189" s="508" t="s">
        <v>1360</v>
      </c>
      <c r="C2189" s="508" t="s">
        <v>411</v>
      </c>
      <c r="D2189" s="509">
        <f>$D$2133</f>
        <v>373660</v>
      </c>
      <c r="E2189" s="509">
        <f>$E$2133</f>
        <v>290842</v>
      </c>
      <c r="F2189" s="509">
        <f>$F$2133</f>
        <v>374127</v>
      </c>
      <c r="G2189" s="509">
        <f>$G$2133</f>
        <v>198062</v>
      </c>
      <c r="H2189" s="509">
        <f>$H$2133</f>
        <v>191925</v>
      </c>
      <c r="I2189" s="509">
        <f>$I$2133</f>
        <v>705278</v>
      </c>
      <c r="J2189" s="508"/>
    </row>
    <row r="2190" spans="1:10" ht="21" customHeight="1">
      <c r="A2190" s="507" t="s">
        <v>1329</v>
      </c>
      <c r="B2190" s="508" t="s">
        <v>1361</v>
      </c>
      <c r="C2190" s="508" t="s">
        <v>397</v>
      </c>
      <c r="D2190" s="509">
        <v>0.13800000000000001</v>
      </c>
      <c r="E2190" s="509">
        <v>0.13800000000000001</v>
      </c>
      <c r="F2190" s="509">
        <v>0.13800000000000001</v>
      </c>
      <c r="G2190" s="509">
        <v>0.13800000000000001</v>
      </c>
      <c r="H2190" s="509">
        <v>0.13800000000000001</v>
      </c>
      <c r="I2190" s="509">
        <f>'Cálculos Mayagüez'!Z34</f>
        <v>0.13800000000000001</v>
      </c>
      <c r="J2190" s="508"/>
    </row>
    <row r="2191" spans="1:10" ht="21" customHeight="1">
      <c r="A2191" s="507" t="s">
        <v>1329</v>
      </c>
      <c r="B2191" s="508" t="s">
        <v>1362</v>
      </c>
      <c r="C2191" s="508" t="s">
        <v>397</v>
      </c>
      <c r="D2191" s="509">
        <v>2000</v>
      </c>
      <c r="E2191" s="509">
        <v>2000</v>
      </c>
      <c r="F2191" s="509">
        <v>2000</v>
      </c>
      <c r="G2191" s="509">
        <v>2000</v>
      </c>
      <c r="H2191" s="509">
        <v>2000</v>
      </c>
      <c r="I2191" s="509">
        <f>'Cálculos Mayagüez'!AB35</f>
        <v>2000</v>
      </c>
      <c r="J2191" s="508"/>
    </row>
    <row r="2192" spans="1:10" ht="21" customHeight="1">
      <c r="A2192" s="507" t="s">
        <v>1329</v>
      </c>
      <c r="B2192" s="508" t="s">
        <v>1363</v>
      </c>
      <c r="C2192" s="508" t="s">
        <v>397</v>
      </c>
      <c r="D2192" s="509">
        <v>2000</v>
      </c>
      <c r="E2192" s="509">
        <v>2000</v>
      </c>
      <c r="F2192" s="509">
        <v>2000</v>
      </c>
      <c r="G2192" s="509">
        <v>2000</v>
      </c>
      <c r="H2192" s="509">
        <v>2000</v>
      </c>
      <c r="I2192" s="509">
        <f>'Cálculos Mayagüez'!AL35</f>
        <v>2000</v>
      </c>
      <c r="J2192" s="508"/>
    </row>
    <row r="2193" spans="1:10" ht="21" customHeight="1">
      <c r="A2193" s="507" t="s">
        <v>1329</v>
      </c>
      <c r="B2193" s="508" t="s">
        <v>1364</v>
      </c>
      <c r="C2193" s="508" t="s">
        <v>397</v>
      </c>
      <c r="D2193" s="509">
        <v>2000</v>
      </c>
      <c r="E2193" s="509">
        <v>2000</v>
      </c>
      <c r="F2193" s="509">
        <v>2000</v>
      </c>
      <c r="G2193" s="509">
        <v>2000</v>
      </c>
      <c r="H2193" s="509">
        <v>2000</v>
      </c>
      <c r="I2193" s="509">
        <f>'Cálculos Mayagüez'!H35</f>
        <v>2000</v>
      </c>
      <c r="J2193" s="508"/>
    </row>
    <row r="2194" spans="1:10" ht="21" customHeight="1">
      <c r="A2194" s="507" t="s">
        <v>1329</v>
      </c>
      <c r="B2194" s="508" t="s">
        <v>1365</v>
      </c>
      <c r="C2194" s="508" t="s">
        <v>397</v>
      </c>
      <c r="D2194" s="509">
        <v>2000</v>
      </c>
      <c r="E2194" s="509">
        <v>2000</v>
      </c>
      <c r="F2194" s="509">
        <v>2000</v>
      </c>
      <c r="G2194" s="509">
        <v>2000</v>
      </c>
      <c r="H2194" s="509">
        <v>2000</v>
      </c>
      <c r="I2194" s="509">
        <f>'Cálculos Mayagüez'!R35</f>
        <v>2000</v>
      </c>
      <c r="J2194" s="508"/>
    </row>
    <row r="2195" spans="1:10" ht="21" customHeight="1">
      <c r="A2195" s="507" t="s">
        <v>1329</v>
      </c>
      <c r="B2195" s="508" t="s">
        <v>1366</v>
      </c>
      <c r="C2195" s="508" t="s">
        <v>411</v>
      </c>
      <c r="D2195" s="509">
        <f>($D$2179*$D$2180*$D$2181)/$D$2192</f>
        <v>6.6272316672304461</v>
      </c>
      <c r="E2195" s="509">
        <f>($E$2179*$E$2180*$E$2181)/$E$2192</f>
        <v>6.1278215447969</v>
      </c>
      <c r="F2195" s="509">
        <f>($F$2179*$F$2180*$F$2181)/$F$2192</f>
        <v>9.4225033380830041</v>
      </c>
      <c r="G2195" s="509">
        <f>($G$2179*$G$2180*$G$2181)/$G$2192</f>
        <v>10.387861536833856</v>
      </c>
      <c r="H2195" s="509">
        <f>($H$2179*$H$2180*$H$2181)/$H$2192</f>
        <v>3.6797334876521663</v>
      </c>
      <c r="I2195" s="509">
        <f>($I$2179*$I$2180*$I$2181)/$I$2192</f>
        <v>2.3617535965245406</v>
      </c>
      <c r="J2195" s="508"/>
    </row>
    <row r="2196" spans="1:10" ht="21" customHeight="1">
      <c r="A2196" s="507" t="s">
        <v>1329</v>
      </c>
      <c r="B2196" s="508" t="s">
        <v>573</v>
      </c>
      <c r="C2196" s="508" t="s">
        <v>411</v>
      </c>
      <c r="D2196" s="509">
        <f>($D$2182*$D$2183*$D$2184)/$D$2193</f>
        <v>0</v>
      </c>
      <c r="E2196" s="509">
        <f>($E$2182*$E$2183*$E$2184)/$E$2193</f>
        <v>0</v>
      </c>
      <c r="F2196" s="509">
        <f>($F$2182*$F$2183*$F$2184)/$F$2193</f>
        <v>0</v>
      </c>
      <c r="G2196" s="509">
        <f>($G$2182*$G$2183*$G$2184)/$G$2193</f>
        <v>0</v>
      </c>
      <c r="H2196" s="509">
        <f>($H$2182*$H$2183*$H$2184)/$H$2193</f>
        <v>0</v>
      </c>
      <c r="I2196" s="509">
        <f>($I$2182*$I$2183*$I$2184)/$I$2193</f>
        <v>3.3878833167510308E-2</v>
      </c>
      <c r="J2196" s="508"/>
    </row>
    <row r="2197" spans="1:10" ht="21" customHeight="1">
      <c r="A2197" s="507" t="s">
        <v>1329</v>
      </c>
      <c r="B2197" s="508" t="s">
        <v>1241</v>
      </c>
      <c r="C2197" s="508" t="s">
        <v>411</v>
      </c>
      <c r="D2197" s="509">
        <f>($D$2185*$D$2186*$D$2187)/$D$2194</f>
        <v>0</v>
      </c>
      <c r="E2197" s="509">
        <f>($E$2185*$E$2186*$E$2187)/$E$2194</f>
        <v>2.1117210597674848E-2</v>
      </c>
      <c r="F2197" s="509">
        <f>($F$2185*$F$2186*$F$2187)/$F$2194</f>
        <v>0</v>
      </c>
      <c r="G2197" s="509">
        <f>($G$2185*$G$2186*$G$2187)/$G$2194</f>
        <v>0.79407856768136342</v>
      </c>
      <c r="H2197" s="509">
        <f>($H$2185*$H$2186*$H$2187)/$H$2194</f>
        <v>5.418152278498912</v>
      </c>
      <c r="I2197" s="509">
        <f>($I$2185*$I$2186*$I$2187)/$I$2194</f>
        <v>5.5943341191714309</v>
      </c>
      <c r="J2197" s="508"/>
    </row>
    <row r="2198" spans="1:10" ht="21" customHeight="1">
      <c r="A2198" s="507" t="s">
        <v>1329</v>
      </c>
      <c r="B2198" s="508" t="s">
        <v>1367</v>
      </c>
      <c r="C2198" s="508" t="s">
        <v>411</v>
      </c>
      <c r="D2198" s="509">
        <f>($D$2188*$D$2189*$D$2190)/$D$2191</f>
        <v>7.416030932262391</v>
      </c>
      <c r="E2198" s="509">
        <f>($E$2188*$E$2189*$E$2190)/$E$2191</f>
        <v>5.7723418840685596</v>
      </c>
      <c r="F2198" s="509">
        <f>($F$2188*$F$2189*$F$2190)/$F$2191</f>
        <v>7.4252994824025356</v>
      </c>
      <c r="G2198" s="509">
        <f>($G$2188*$G$2189*$G$2190)/$G$2191</f>
        <v>3.9309369975532662</v>
      </c>
      <c r="H2198" s="509">
        <f>($H$2188*$H$2189*$H$2190)/$H$2191</f>
        <v>3.8091359435702494</v>
      </c>
      <c r="I2198" s="509">
        <f>($I$2188*$I$2189*$I$2190)/$I$2191</f>
        <v>13.997654187882445</v>
      </c>
      <c r="J2198" s="508"/>
    </row>
    <row r="2199" spans="1:10" ht="21" customHeight="1">
      <c r="A2199" s="507" t="s">
        <v>1329</v>
      </c>
      <c r="B2199" s="508" t="s">
        <v>1368</v>
      </c>
      <c r="C2199" s="508" t="s">
        <v>397</v>
      </c>
      <c r="D2199" s="509">
        <v>4.0999999999999999E-4</v>
      </c>
      <c r="E2199" s="509">
        <v>4.0999999999999999E-4</v>
      </c>
      <c r="F2199" s="509">
        <v>4.0999999999999999E-4</v>
      </c>
      <c r="G2199" s="509">
        <v>4.0999999999999999E-4</v>
      </c>
      <c r="H2199" s="509">
        <v>4.0999999999999999E-4</v>
      </c>
      <c r="I2199" s="509">
        <f>'Cálculos Mayagüez'!AF42</f>
        <v>4.0999999999999999E-4</v>
      </c>
      <c r="J2199" s="508"/>
    </row>
    <row r="2200" spans="1:10" ht="21" customHeight="1">
      <c r="A2200" s="507" t="s">
        <v>1329</v>
      </c>
      <c r="B2200" s="508" t="s">
        <v>1369</v>
      </c>
      <c r="C2200" s="508" t="s">
        <v>411</v>
      </c>
      <c r="D2200" s="509">
        <f>$D$2130</f>
        <v>333916</v>
      </c>
      <c r="E2200" s="509">
        <f>$E$2130</f>
        <v>308753</v>
      </c>
      <c r="F2200" s="509">
        <f>$F$2130</f>
        <v>474757</v>
      </c>
      <c r="G2200" s="509">
        <f>$G$2130</f>
        <v>523397</v>
      </c>
      <c r="H2200" s="509">
        <f>$H$2130</f>
        <v>185405</v>
      </c>
      <c r="I2200" s="509">
        <f>$I$2130</f>
        <v>118998</v>
      </c>
      <c r="J2200" s="508"/>
    </row>
    <row r="2201" spans="1:10" ht="21" customHeight="1">
      <c r="A2201" s="507" t="s">
        <v>1329</v>
      </c>
      <c r="B2201" s="508" t="s">
        <v>1370</v>
      </c>
      <c r="C2201" s="508" t="s">
        <v>397</v>
      </c>
      <c r="D2201" s="509">
        <v>0.13800000000000001</v>
      </c>
      <c r="E2201" s="509">
        <v>0.13800000000000001</v>
      </c>
      <c r="F2201" s="509">
        <v>0.13800000000000001</v>
      </c>
      <c r="G2201" s="509">
        <v>0.13800000000000001</v>
      </c>
      <c r="H2201" s="509">
        <v>0.13800000000000001</v>
      </c>
      <c r="I2201" s="509">
        <f>'Cálculos Mayagüez'!AJ42</f>
        <v>0.13800000000000001</v>
      </c>
      <c r="J2201" s="508"/>
    </row>
    <row r="2202" spans="1:10" ht="21" customHeight="1">
      <c r="A2202" s="507" t="s">
        <v>1329</v>
      </c>
      <c r="B2202" s="508" t="s">
        <v>517</v>
      </c>
      <c r="C2202" s="508" t="s">
        <v>397</v>
      </c>
      <c r="D2202" s="509">
        <v>4.0999999999999999E-4</v>
      </c>
      <c r="E2202" s="509">
        <v>4.0999999999999999E-4</v>
      </c>
      <c r="F2202" s="509">
        <v>4.0999999999999999E-4</v>
      </c>
      <c r="G2202" s="509">
        <v>4.0999999999999999E-4</v>
      </c>
      <c r="H2202" s="509">
        <v>4.0999999999999999E-4</v>
      </c>
      <c r="I2202" s="509">
        <f>'Cálculos Mayagüez'!B42</f>
        <v>4.0999999999999999E-4</v>
      </c>
      <c r="J2202" s="508"/>
    </row>
    <row r="2203" spans="1:10" ht="21" customHeight="1">
      <c r="A2203" s="507" t="s">
        <v>1329</v>
      </c>
      <c r="B2203" s="508" t="s">
        <v>815</v>
      </c>
      <c r="C2203" s="508" t="s">
        <v>411</v>
      </c>
      <c r="D2203" s="509">
        <f>$D$2131</f>
        <v>0</v>
      </c>
      <c r="E2203" s="509">
        <f>$E$2131</f>
        <v>0</v>
      </c>
      <c r="F2203" s="509">
        <f>$F$2131</f>
        <v>0</v>
      </c>
      <c r="G2203" s="509">
        <f>$G$2131</f>
        <v>0</v>
      </c>
      <c r="H2203" s="509">
        <f>$H$2131</f>
        <v>0</v>
      </c>
      <c r="I2203" s="509">
        <f>$I$2131</f>
        <v>1707</v>
      </c>
      <c r="J2203" s="508"/>
    </row>
    <row r="2204" spans="1:10" ht="21" customHeight="1">
      <c r="A2204" s="507" t="s">
        <v>1329</v>
      </c>
      <c r="B2204" s="508" t="s">
        <v>870</v>
      </c>
      <c r="C2204" s="508" t="s">
        <v>397</v>
      </c>
      <c r="D2204" s="509">
        <v>0.13800000000000001</v>
      </c>
      <c r="E2204" s="509">
        <v>0.13800000000000001</v>
      </c>
      <c r="F2204" s="509">
        <v>0.13800000000000001</v>
      </c>
      <c r="G2204" s="509">
        <v>0.13800000000000001</v>
      </c>
      <c r="H2204" s="509">
        <v>0.13800000000000001</v>
      </c>
      <c r="I2204" s="509">
        <f>'Cálculos Mayagüez'!F42</f>
        <v>0.13800000000000001</v>
      </c>
      <c r="J2204" s="508"/>
    </row>
    <row r="2205" spans="1:10" ht="21" customHeight="1">
      <c r="A2205" s="507" t="s">
        <v>1329</v>
      </c>
      <c r="B2205" s="508" t="s">
        <v>1371</v>
      </c>
      <c r="C2205" s="508" t="s">
        <v>397</v>
      </c>
      <c r="D2205" s="509">
        <v>4.0999999999999999E-4</v>
      </c>
      <c r="E2205" s="509">
        <v>4.0999999999999999E-4</v>
      </c>
      <c r="F2205" s="509">
        <v>4.0999999999999999E-4</v>
      </c>
      <c r="G2205" s="509">
        <v>4.0999999999999999E-4</v>
      </c>
      <c r="H2205" s="509">
        <v>4.0999999999999999E-4</v>
      </c>
      <c r="I2205" s="509">
        <f>'Cálculos Mayagüez'!L42</f>
        <v>4.0999999999999999E-4</v>
      </c>
      <c r="J2205" s="508"/>
    </row>
    <row r="2206" spans="1:10" ht="21" customHeight="1">
      <c r="A2206" s="507" t="s">
        <v>1329</v>
      </c>
      <c r="B2206" s="508" t="s">
        <v>1372</v>
      </c>
      <c r="C2206" s="508" t="s">
        <v>411</v>
      </c>
      <c r="D2206" s="509">
        <f>$D$2132</f>
        <v>0</v>
      </c>
      <c r="E2206" s="509">
        <f>$E$2132</f>
        <v>1064</v>
      </c>
      <c r="F2206" s="509">
        <f>$F$2132</f>
        <v>0</v>
      </c>
      <c r="G2206" s="509">
        <f>$G$2132</f>
        <v>40010</v>
      </c>
      <c r="H2206" s="509">
        <f>$H$2132</f>
        <v>272996</v>
      </c>
      <c r="I2206" s="509">
        <f>$I$2132</f>
        <v>281873</v>
      </c>
      <c r="J2206" s="508"/>
    </row>
    <row r="2207" spans="1:10" ht="21" customHeight="1">
      <c r="A2207" s="507" t="s">
        <v>1329</v>
      </c>
      <c r="B2207" s="508" t="s">
        <v>1373</v>
      </c>
      <c r="C2207" s="508" t="s">
        <v>397</v>
      </c>
      <c r="D2207" s="509">
        <v>0.13800000000000001</v>
      </c>
      <c r="E2207" s="509">
        <v>0.13800000000000001</v>
      </c>
      <c r="F2207" s="509">
        <v>0.13800000000000001</v>
      </c>
      <c r="G2207" s="509">
        <v>0.13800000000000001</v>
      </c>
      <c r="H2207" s="509">
        <v>0.13800000000000001</v>
      </c>
      <c r="I2207" s="509">
        <f>'Cálculos Mayagüez'!P42</f>
        <v>0.13800000000000001</v>
      </c>
      <c r="J2207" s="508"/>
    </row>
    <row r="2208" spans="1:10" ht="21" customHeight="1">
      <c r="A2208" s="507" t="s">
        <v>1329</v>
      </c>
      <c r="B2208" s="508" t="s">
        <v>1374</v>
      </c>
      <c r="C2208" s="508" t="s">
        <v>397</v>
      </c>
      <c r="D2208" s="509">
        <v>4.0999999999999999E-4</v>
      </c>
      <c r="E2208" s="509">
        <v>4.0999999999999999E-4</v>
      </c>
      <c r="F2208" s="509">
        <v>4.0999999999999999E-4</v>
      </c>
      <c r="G2208" s="509">
        <v>4.0999999999999999E-4</v>
      </c>
      <c r="H2208" s="509">
        <v>4.0999999999999999E-4</v>
      </c>
      <c r="I2208" s="509">
        <f>'Cálculos Mayagüez'!V42</f>
        <v>4.0999999999999999E-4</v>
      </c>
      <c r="J2208" s="508"/>
    </row>
    <row r="2209" spans="1:10" ht="21" customHeight="1">
      <c r="A2209" s="507" t="s">
        <v>1329</v>
      </c>
      <c r="B2209" s="508" t="s">
        <v>1375</v>
      </c>
      <c r="C2209" s="508" t="s">
        <v>411</v>
      </c>
      <c r="D2209" s="509">
        <f>$D$2133</f>
        <v>373660</v>
      </c>
      <c r="E2209" s="509">
        <f>$E$2133</f>
        <v>290842</v>
      </c>
      <c r="F2209" s="509">
        <f>$F$2133</f>
        <v>374127</v>
      </c>
      <c r="G2209" s="509">
        <f>$G$2133</f>
        <v>198062</v>
      </c>
      <c r="H2209" s="509">
        <f>$H$2133</f>
        <v>191925</v>
      </c>
      <c r="I2209" s="509">
        <f>$I$2133</f>
        <v>705278</v>
      </c>
      <c r="J2209" s="508"/>
    </row>
    <row r="2210" spans="1:10" ht="21" customHeight="1">
      <c r="A2210" s="507" t="s">
        <v>1329</v>
      </c>
      <c r="B2210" s="508" t="s">
        <v>1376</v>
      </c>
      <c r="C2210" s="508" t="s">
        <v>397</v>
      </c>
      <c r="D2210" s="509">
        <v>0.13800000000000001</v>
      </c>
      <c r="E2210" s="509">
        <v>0.13800000000000001</v>
      </c>
      <c r="F2210" s="509">
        <v>0.13800000000000001</v>
      </c>
      <c r="G2210" s="509">
        <v>0.13800000000000001</v>
      </c>
      <c r="H2210" s="509">
        <v>0.13800000000000001</v>
      </c>
      <c r="I2210" s="509">
        <f>'Cálculos Mayagüez'!Z42</f>
        <v>0.13800000000000001</v>
      </c>
      <c r="J2210" s="508"/>
    </row>
    <row r="2211" spans="1:10" ht="21" customHeight="1">
      <c r="A2211" s="507" t="s">
        <v>1329</v>
      </c>
      <c r="B2211" s="508" t="s">
        <v>1377</v>
      </c>
      <c r="C2211" s="508" t="s">
        <v>397</v>
      </c>
      <c r="D2211" s="509">
        <v>2000</v>
      </c>
      <c r="E2211" s="509">
        <v>2000</v>
      </c>
      <c r="F2211" s="509">
        <v>2000</v>
      </c>
      <c r="G2211" s="509">
        <v>2000</v>
      </c>
      <c r="H2211" s="509">
        <v>2000</v>
      </c>
      <c r="I2211" s="509">
        <f>'Cálculos Mayagüez'!AB43</f>
        <v>2000</v>
      </c>
      <c r="J2211" s="508"/>
    </row>
    <row r="2212" spans="1:10" ht="21" customHeight="1">
      <c r="A2212" s="507" t="s">
        <v>1329</v>
      </c>
      <c r="B2212" s="508" t="s">
        <v>1378</v>
      </c>
      <c r="C2212" s="508" t="s">
        <v>397</v>
      </c>
      <c r="D2212" s="509">
        <v>2000</v>
      </c>
      <c r="E2212" s="509">
        <v>2000</v>
      </c>
      <c r="F2212" s="509">
        <v>2000</v>
      </c>
      <c r="G2212" s="509">
        <v>2000</v>
      </c>
      <c r="H2212" s="509">
        <v>2000</v>
      </c>
      <c r="I2212" s="509">
        <f>'Cálculos Mayagüez'!AL43</f>
        <v>2000</v>
      </c>
      <c r="J2212" s="508"/>
    </row>
    <row r="2213" spans="1:10" ht="21" customHeight="1">
      <c r="A2213" s="507" t="s">
        <v>1329</v>
      </c>
      <c r="B2213" s="508" t="s">
        <v>876</v>
      </c>
      <c r="C2213" s="508" t="s">
        <v>397</v>
      </c>
      <c r="D2213" s="509">
        <v>2000</v>
      </c>
      <c r="E2213" s="509">
        <v>2000</v>
      </c>
      <c r="F2213" s="509">
        <v>2000</v>
      </c>
      <c r="G2213" s="509">
        <v>2000</v>
      </c>
      <c r="H2213" s="509">
        <v>2000</v>
      </c>
      <c r="I2213" s="509">
        <f>'Cálculos Mayagüez'!H43</f>
        <v>2000</v>
      </c>
      <c r="J2213" s="508"/>
    </row>
    <row r="2214" spans="1:10" ht="21" customHeight="1">
      <c r="A2214" s="507" t="s">
        <v>1329</v>
      </c>
      <c r="B2214" s="508" t="s">
        <v>1379</v>
      </c>
      <c r="C2214" s="508" t="s">
        <v>397</v>
      </c>
      <c r="D2214" s="509">
        <v>2000</v>
      </c>
      <c r="E2214" s="509">
        <v>2000</v>
      </c>
      <c r="F2214" s="509">
        <v>2000</v>
      </c>
      <c r="G2214" s="509">
        <v>2000</v>
      </c>
      <c r="H2214" s="509">
        <v>2000</v>
      </c>
      <c r="I2214" s="509">
        <f>'Cálculos Mayagüez'!R43</f>
        <v>2000</v>
      </c>
      <c r="J2214" s="508"/>
    </row>
    <row r="2215" spans="1:10" ht="21" customHeight="1">
      <c r="A2215" s="507" t="s">
        <v>1329</v>
      </c>
      <c r="B2215" s="508" t="s">
        <v>1380</v>
      </c>
      <c r="C2215" s="508" t="s">
        <v>411</v>
      </c>
      <c r="D2215" s="509">
        <f>($D$2199*$D$2200*$D$2201)/$D$2212</f>
        <v>9.4464836400000012E-3</v>
      </c>
      <c r="E2215" s="509">
        <f>($E$2199*$E$2200*$E$2201)/$E$2212</f>
        <v>8.7346223700000003E-3</v>
      </c>
      <c r="F2215" s="509">
        <f>($F$2199*$F$2200*$F$2201)/$F$2212</f>
        <v>1.3430875530000002E-2</v>
      </c>
      <c r="G2215" s="509">
        <f>($G$2199*$G$2200*$G$2201)/$G$2212</f>
        <v>1.4806901130000001E-2</v>
      </c>
      <c r="H2215" s="509">
        <f>($H$2199*$H$2200*$H$2201)/$H$2212</f>
        <v>5.2451074499999997E-3</v>
      </c>
      <c r="I2215" s="509">
        <f>($I$2199*$I$2200*$I$2201)/$I$2212</f>
        <v>3.3664534200000006E-3</v>
      </c>
      <c r="J2215" s="508"/>
    </row>
    <row r="2216" spans="1:10" ht="21" customHeight="1">
      <c r="A2216" s="507" t="s">
        <v>1329</v>
      </c>
      <c r="B2216" s="508" t="s">
        <v>523</v>
      </c>
      <c r="C2216" s="508" t="s">
        <v>411</v>
      </c>
      <c r="D2216" s="509">
        <f>($D$2202*$D$2203*$D$2204)/$D$2213</f>
        <v>0</v>
      </c>
      <c r="E2216" s="509">
        <f>($E$2202*$E$2203*$E$2204)/$E$2213</f>
        <v>0</v>
      </c>
      <c r="F2216" s="509">
        <f>($F$2202*$F$2203*$F$2204)/$F$2213</f>
        <v>0</v>
      </c>
      <c r="G2216" s="509">
        <f>($G$2202*$G$2203*$G$2204)/$G$2213</f>
        <v>0</v>
      </c>
      <c r="H2216" s="509">
        <f>($H$2202*$H$2203*$H$2204)/$H$2213</f>
        <v>0</v>
      </c>
      <c r="I2216" s="509">
        <f>($I$2202*$I$2203*$I$2204)/$I$2213</f>
        <v>4.8291030000000004E-5</v>
      </c>
      <c r="J2216" s="508"/>
    </row>
    <row r="2217" spans="1:10" ht="21" customHeight="1">
      <c r="A2217" s="507" t="s">
        <v>1329</v>
      </c>
      <c r="B2217" s="508" t="s">
        <v>1381</v>
      </c>
      <c r="C2217" s="508" t="s">
        <v>411</v>
      </c>
      <c r="D2217" s="509">
        <f>($D$2205*$D$2206*$D$2207)/$D$2214</f>
        <v>0</v>
      </c>
      <c r="E2217" s="509">
        <f>($E$2205*$E$2206*$E$2207)/$E$2214</f>
        <v>3.0100560000000005E-5</v>
      </c>
      <c r="F2217" s="509">
        <f>($F$2205*$F$2206*$F$2207)/$F$2214</f>
        <v>0</v>
      </c>
      <c r="G2217" s="509">
        <f>($G$2205*$G$2206*$G$2207)/$G$2214</f>
        <v>1.1318829000000002E-3</v>
      </c>
      <c r="H2217" s="509">
        <f>($H$2205*$H$2206*$H$2207)/$H$2214</f>
        <v>7.7230568400000008E-3</v>
      </c>
      <c r="I2217" s="509">
        <f>($I$2205*$I$2206*$I$2207)/$I$2214</f>
        <v>7.9741871700000008E-3</v>
      </c>
      <c r="J2217" s="508"/>
    </row>
    <row r="2218" spans="1:10" ht="21" customHeight="1">
      <c r="A2218" s="507" t="s">
        <v>1329</v>
      </c>
      <c r="B2218" s="508" t="s">
        <v>1382</v>
      </c>
      <c r="C2218" s="508" t="s">
        <v>411</v>
      </c>
      <c r="D2218" s="509">
        <f>($D$2208*$D$2209*$D$2210)/$D$2211</f>
        <v>1.0570841400000001E-2</v>
      </c>
      <c r="E2218" s="509">
        <f>($E$2208*$E$2209*$E$2210)/$E$2211</f>
        <v>8.2279201800000024E-3</v>
      </c>
      <c r="F2218" s="509">
        <f>($F$2208*$F$2209*$F$2210)/$F$2211</f>
        <v>1.0584052830000001E-2</v>
      </c>
      <c r="G2218" s="509">
        <f>($G$2208*$G$2209*$G$2210)/$G$2211</f>
        <v>5.6031739800000008E-3</v>
      </c>
      <c r="H2218" s="509">
        <f>($H$2208*$H$2209*$H$2210)/$H$2211</f>
        <v>5.42955825E-3</v>
      </c>
      <c r="I2218" s="509">
        <f>($I$2208*$I$2209*$I$2210)/$I$2211</f>
        <v>1.9952314619999998E-2</v>
      </c>
      <c r="J2218" s="508"/>
    </row>
    <row r="2219" spans="1:10" ht="21" customHeight="1">
      <c r="A2219" s="507" t="s">
        <v>1329</v>
      </c>
      <c r="B2219" s="508" t="s">
        <v>1383</v>
      </c>
      <c r="C2219" s="508" t="s">
        <v>397</v>
      </c>
      <c r="D2219" s="509">
        <v>3.3E-3</v>
      </c>
      <c r="E2219" s="509">
        <v>3.3E-3</v>
      </c>
      <c r="F2219" s="509">
        <v>3.3E-3</v>
      </c>
      <c r="G2219" s="509">
        <v>3.3E-3</v>
      </c>
      <c r="H2219" s="509">
        <v>3.3E-3</v>
      </c>
      <c r="I2219" s="509">
        <f>'Cálculos Mayagüez'!AF55</f>
        <v>3.3E-3</v>
      </c>
      <c r="J2219" s="508"/>
    </row>
    <row r="2220" spans="1:10" ht="21" customHeight="1">
      <c r="A2220" s="507" t="s">
        <v>1329</v>
      </c>
      <c r="B2220" s="508" t="s">
        <v>1384</v>
      </c>
      <c r="C2220" s="508" t="s">
        <v>411</v>
      </c>
      <c r="D2220" s="509">
        <f>$D$2130</f>
        <v>333916</v>
      </c>
      <c r="E2220" s="509">
        <f>$E$2130</f>
        <v>308753</v>
      </c>
      <c r="F2220" s="509">
        <f>$F$2130</f>
        <v>474757</v>
      </c>
      <c r="G2220" s="509">
        <f>$G$2130</f>
        <v>523397</v>
      </c>
      <c r="H2220" s="509">
        <f>$H$2130</f>
        <v>185405</v>
      </c>
      <c r="I2220" s="509">
        <f>$I$2130</f>
        <v>118998</v>
      </c>
      <c r="J2220" s="508"/>
    </row>
    <row r="2221" spans="1:10" ht="21" customHeight="1">
      <c r="A2221" s="507" t="s">
        <v>1329</v>
      </c>
      <c r="B2221" s="508" t="s">
        <v>1385</v>
      </c>
      <c r="C2221" s="508" t="s">
        <v>397</v>
      </c>
      <c r="D2221" s="509">
        <v>0.13800000000000001</v>
      </c>
      <c r="E2221" s="509">
        <v>0.13800000000000001</v>
      </c>
      <c r="F2221" s="509">
        <v>0.13800000000000001</v>
      </c>
      <c r="G2221" s="509">
        <v>0.13800000000000001</v>
      </c>
      <c r="H2221" s="509">
        <v>0.13800000000000001</v>
      </c>
      <c r="I2221" s="509">
        <f>'Cálculos Mayagüez'!AJ55</f>
        <v>0.13800000000000001</v>
      </c>
      <c r="J2221" s="508"/>
    </row>
    <row r="2222" spans="1:10" ht="21" customHeight="1">
      <c r="A2222" s="507" t="s">
        <v>1329</v>
      </c>
      <c r="B2222" s="508" t="s">
        <v>580</v>
      </c>
      <c r="C2222" s="508" t="s">
        <v>397</v>
      </c>
      <c r="D2222" s="509">
        <v>3.3E-3</v>
      </c>
      <c r="E2222" s="509">
        <v>3.3E-3</v>
      </c>
      <c r="F2222" s="509">
        <v>3.3E-3</v>
      </c>
      <c r="G2222" s="509">
        <v>3.3E-3</v>
      </c>
      <c r="H2222" s="509">
        <v>3.3E-3</v>
      </c>
      <c r="I2222" s="509">
        <f>'Cálculos Mayagüez'!B55</f>
        <v>3.3E-3</v>
      </c>
      <c r="J2222" s="508"/>
    </row>
    <row r="2223" spans="1:10" ht="21" customHeight="1">
      <c r="A2223" s="507" t="s">
        <v>1329</v>
      </c>
      <c r="B2223" s="508" t="s">
        <v>1386</v>
      </c>
      <c r="C2223" s="508" t="s">
        <v>411</v>
      </c>
      <c r="D2223" s="509">
        <f>$D$2131</f>
        <v>0</v>
      </c>
      <c r="E2223" s="509">
        <f>$E$2131</f>
        <v>0</v>
      </c>
      <c r="F2223" s="509">
        <f>$F$2131</f>
        <v>0</v>
      </c>
      <c r="G2223" s="509">
        <f>$G$2131</f>
        <v>0</v>
      </c>
      <c r="H2223" s="509">
        <f>$H$2131</f>
        <v>0</v>
      </c>
      <c r="I2223" s="509">
        <f>$I$2131</f>
        <v>1707</v>
      </c>
      <c r="J2223" s="508"/>
    </row>
    <row r="2224" spans="1:10" ht="21" customHeight="1">
      <c r="A2224" s="507" t="s">
        <v>1329</v>
      </c>
      <c r="B2224" s="508" t="s">
        <v>1387</v>
      </c>
      <c r="C2224" s="508" t="s">
        <v>397</v>
      </c>
      <c r="D2224" s="509">
        <v>0.13800000000000001</v>
      </c>
      <c r="E2224" s="509">
        <v>0.13800000000000001</v>
      </c>
      <c r="F2224" s="509">
        <v>0.13800000000000001</v>
      </c>
      <c r="G2224" s="509">
        <v>0.13800000000000001</v>
      </c>
      <c r="H2224" s="509">
        <v>0.13800000000000001</v>
      </c>
      <c r="I2224" s="509">
        <f>'Cálculos Mayagüez'!F55</f>
        <v>0.13800000000000001</v>
      </c>
      <c r="J2224" s="508"/>
    </row>
    <row r="2225" spans="1:10" ht="21" customHeight="1">
      <c r="A2225" s="507" t="s">
        <v>1329</v>
      </c>
      <c r="B2225" s="508" t="s">
        <v>1388</v>
      </c>
      <c r="C2225" s="508" t="s">
        <v>397</v>
      </c>
      <c r="D2225" s="509">
        <v>3.3E-3</v>
      </c>
      <c r="E2225" s="509">
        <v>3.3E-3</v>
      </c>
      <c r="F2225" s="509">
        <v>3.3E-3</v>
      </c>
      <c r="G2225" s="509">
        <v>3.3E-3</v>
      </c>
      <c r="H2225" s="509">
        <v>3.3E-3</v>
      </c>
      <c r="I2225" s="509">
        <f>'Cálculos Mayagüez'!L55</f>
        <v>3.3E-3</v>
      </c>
      <c r="J2225" s="508"/>
    </row>
    <row r="2226" spans="1:10" ht="21" customHeight="1">
      <c r="A2226" s="507" t="s">
        <v>1329</v>
      </c>
      <c r="B2226" s="508" t="s">
        <v>1389</v>
      </c>
      <c r="C2226" s="508" t="s">
        <v>411</v>
      </c>
      <c r="D2226" s="509">
        <f>$D$2132</f>
        <v>0</v>
      </c>
      <c r="E2226" s="509">
        <f>$E$2132</f>
        <v>1064</v>
      </c>
      <c r="F2226" s="509">
        <f>$F$2132</f>
        <v>0</v>
      </c>
      <c r="G2226" s="509">
        <f>$G$2132</f>
        <v>40010</v>
      </c>
      <c r="H2226" s="509">
        <f>$H$2132</f>
        <v>272996</v>
      </c>
      <c r="I2226" s="509">
        <f>$I$2132</f>
        <v>281873</v>
      </c>
      <c r="J2226" s="508"/>
    </row>
    <row r="2227" spans="1:10" ht="21" customHeight="1">
      <c r="A2227" s="507" t="s">
        <v>1329</v>
      </c>
      <c r="B2227" s="508" t="s">
        <v>1390</v>
      </c>
      <c r="C2227" s="508" t="s">
        <v>397</v>
      </c>
      <c r="D2227" s="509">
        <v>0.13800000000000001</v>
      </c>
      <c r="E2227" s="509">
        <v>0.13800000000000001</v>
      </c>
      <c r="F2227" s="509">
        <v>0.13800000000000001</v>
      </c>
      <c r="G2227" s="509">
        <v>0.13800000000000001</v>
      </c>
      <c r="H2227" s="509">
        <v>0.13800000000000001</v>
      </c>
      <c r="I2227" s="509">
        <f>'Cálculos Mayagüez'!P55</f>
        <v>0.13800000000000001</v>
      </c>
      <c r="J2227" s="508"/>
    </row>
    <row r="2228" spans="1:10" ht="21" customHeight="1">
      <c r="A2228" s="507" t="s">
        <v>1329</v>
      </c>
      <c r="B2228" s="508" t="s">
        <v>1391</v>
      </c>
      <c r="C2228" s="508" t="s">
        <v>397</v>
      </c>
      <c r="D2228" s="509">
        <v>3.3E-3</v>
      </c>
      <c r="E2228" s="509">
        <v>3.3E-3</v>
      </c>
      <c r="F2228" s="509">
        <v>3.3E-3</v>
      </c>
      <c r="G2228" s="509">
        <v>3.3E-3</v>
      </c>
      <c r="H2228" s="509">
        <v>3.3E-3</v>
      </c>
      <c r="I2228" s="509">
        <f>'Cálculos Mayagüez'!V55</f>
        <v>3.3E-3</v>
      </c>
      <c r="J2228" s="508"/>
    </row>
    <row r="2229" spans="1:10" ht="21" customHeight="1">
      <c r="A2229" s="507" t="s">
        <v>1329</v>
      </c>
      <c r="B2229" s="508" t="s">
        <v>1392</v>
      </c>
      <c r="C2229" s="508" t="s">
        <v>411</v>
      </c>
      <c r="D2229" s="509">
        <f>$D$2133</f>
        <v>373660</v>
      </c>
      <c r="E2229" s="509">
        <f>$E$2133</f>
        <v>290842</v>
      </c>
      <c r="F2229" s="509">
        <f>$F$2133</f>
        <v>374127</v>
      </c>
      <c r="G2229" s="509">
        <f>$G$2133</f>
        <v>198062</v>
      </c>
      <c r="H2229" s="509">
        <f>$H$2133</f>
        <v>191925</v>
      </c>
      <c r="I2229" s="509">
        <f>$I$2133</f>
        <v>705278</v>
      </c>
      <c r="J2229" s="508"/>
    </row>
    <row r="2230" spans="1:10" ht="21" customHeight="1">
      <c r="A2230" s="507" t="s">
        <v>1329</v>
      </c>
      <c r="B2230" s="508" t="s">
        <v>1393</v>
      </c>
      <c r="C2230" s="508" t="s">
        <v>397</v>
      </c>
      <c r="D2230" s="509">
        <v>0.13800000000000001</v>
      </c>
      <c r="E2230" s="509">
        <v>0.13800000000000001</v>
      </c>
      <c r="F2230" s="509">
        <v>0.13800000000000001</v>
      </c>
      <c r="G2230" s="509">
        <v>0.13800000000000001</v>
      </c>
      <c r="H2230" s="509">
        <v>0.13800000000000001</v>
      </c>
      <c r="I2230" s="509">
        <f>'Cálculos Mayagüez'!Z55</f>
        <v>0.13800000000000001</v>
      </c>
      <c r="J2230" s="508"/>
    </row>
    <row r="2231" spans="1:10" ht="21" customHeight="1">
      <c r="A2231" s="507" t="s">
        <v>1329</v>
      </c>
      <c r="B2231" s="508" t="s">
        <v>1394</v>
      </c>
      <c r="C2231" s="508" t="s">
        <v>397</v>
      </c>
      <c r="D2231" s="509">
        <v>2000</v>
      </c>
      <c r="E2231" s="509">
        <v>2000</v>
      </c>
      <c r="F2231" s="509">
        <v>2000</v>
      </c>
      <c r="G2231" s="509">
        <v>2000</v>
      </c>
      <c r="H2231" s="509">
        <v>2000</v>
      </c>
      <c r="I2231" s="509">
        <f>'Cálculos Mayagüez'!AB56</f>
        <v>2000</v>
      </c>
      <c r="J2231" s="508"/>
    </row>
    <row r="2232" spans="1:10" ht="21" customHeight="1">
      <c r="A2232" s="507" t="s">
        <v>1329</v>
      </c>
      <c r="B2232" s="508" t="s">
        <v>1395</v>
      </c>
      <c r="C2232" s="508" t="s">
        <v>397</v>
      </c>
      <c r="D2232" s="509">
        <v>2000</v>
      </c>
      <c r="E2232" s="509">
        <v>2000</v>
      </c>
      <c r="F2232" s="509">
        <v>2000</v>
      </c>
      <c r="G2232" s="509">
        <v>2000</v>
      </c>
      <c r="H2232" s="509">
        <v>2000</v>
      </c>
      <c r="I2232" s="509">
        <f>'Cálculos Mayagüez'!AL56</f>
        <v>2000</v>
      </c>
      <c r="J2232" s="508"/>
    </row>
    <row r="2233" spans="1:10" ht="21" customHeight="1">
      <c r="A2233" s="507" t="s">
        <v>1329</v>
      </c>
      <c r="B2233" s="508" t="s">
        <v>636</v>
      </c>
      <c r="C2233" s="508" t="s">
        <v>397</v>
      </c>
      <c r="D2233" s="509">
        <v>2000</v>
      </c>
      <c r="E2233" s="509">
        <v>2000</v>
      </c>
      <c r="F2233" s="509">
        <v>2000</v>
      </c>
      <c r="G2233" s="509">
        <v>2000</v>
      </c>
      <c r="H2233" s="509">
        <v>2000</v>
      </c>
      <c r="I2233" s="509">
        <f>'Cálculos Mayagüez'!H56</f>
        <v>2000</v>
      </c>
      <c r="J2233" s="508"/>
    </row>
    <row r="2234" spans="1:10" ht="21" customHeight="1">
      <c r="A2234" s="507" t="s">
        <v>1329</v>
      </c>
      <c r="B2234" s="508" t="s">
        <v>639</v>
      </c>
      <c r="C2234" s="508" t="s">
        <v>397</v>
      </c>
      <c r="D2234" s="509">
        <v>2000</v>
      </c>
      <c r="E2234" s="509">
        <v>2000</v>
      </c>
      <c r="F2234" s="509">
        <v>2000</v>
      </c>
      <c r="G2234" s="509">
        <v>2000</v>
      </c>
      <c r="H2234" s="509">
        <v>2000</v>
      </c>
      <c r="I2234" s="509">
        <f>'Cálculos Mayagüez'!R56</f>
        <v>2000</v>
      </c>
      <c r="J2234" s="508"/>
    </row>
    <row r="2235" spans="1:10" ht="21" customHeight="1">
      <c r="A2235" s="507" t="s">
        <v>1329</v>
      </c>
      <c r="B2235" s="508" t="s">
        <v>1396</v>
      </c>
      <c r="C2235" s="508" t="s">
        <v>411</v>
      </c>
      <c r="D2235" s="509">
        <f>($D$2219*$D$2220*$D$2221)/$D$2232</f>
        <v>7.6032673200000012E-2</v>
      </c>
      <c r="E2235" s="509">
        <f>($E$2219*$E$2220*$E$2221)/$E$2232</f>
        <v>7.0303058099999996E-2</v>
      </c>
      <c r="F2235" s="509">
        <f>($F$2219*$F$2220*$F$2221)/$F$2232</f>
        <v>0.1081021689</v>
      </c>
      <c r="G2235" s="509">
        <f>($G$2219*$G$2220*$G$2221)/$G$2232</f>
        <v>0.11917749690000001</v>
      </c>
      <c r="H2235" s="509">
        <f>($H$2219*$H$2220*$H$2221)/$H$2232</f>
        <v>4.2216718500000007E-2</v>
      </c>
      <c r="I2235" s="509">
        <f>($I$2219*$I$2220*$I$2221)/$I$2232</f>
        <v>2.7095844600000002E-2</v>
      </c>
      <c r="J2235" s="508"/>
    </row>
    <row r="2236" spans="1:10" ht="21" customHeight="1">
      <c r="A2236" s="507" t="s">
        <v>1329</v>
      </c>
      <c r="B2236" s="508" t="s">
        <v>731</v>
      </c>
      <c r="C2236" s="508" t="s">
        <v>411</v>
      </c>
      <c r="D2236" s="509">
        <f>($D$2222*$D$2223*$D$2224)/$D$2233</f>
        <v>0</v>
      </c>
      <c r="E2236" s="509">
        <f>($E$2222*$E$2223*$E$2224)/$E$2233</f>
        <v>0</v>
      </c>
      <c r="F2236" s="509">
        <f>($F$2222*$F$2223*$F$2224)/$F$2233</f>
        <v>0</v>
      </c>
      <c r="G2236" s="509">
        <f>($G$2222*$G$2223*$G$2224)/$G$2233</f>
        <v>0</v>
      </c>
      <c r="H2236" s="509">
        <f>($H$2222*$H$2223*$H$2224)/$H$2233</f>
        <v>0</v>
      </c>
      <c r="I2236" s="509">
        <f>($I$2222*$I$2223*$I$2224)/$I$2233</f>
        <v>3.886839E-4</v>
      </c>
      <c r="J2236" s="508"/>
    </row>
    <row r="2237" spans="1:10" ht="21" customHeight="1">
      <c r="A2237" s="507" t="s">
        <v>1329</v>
      </c>
      <c r="B2237" s="508" t="s">
        <v>915</v>
      </c>
      <c r="C2237" s="508" t="s">
        <v>411</v>
      </c>
      <c r="D2237" s="509">
        <f>($D$2225*$D$2226*$D$2227)/$D$2234</f>
        <v>0</v>
      </c>
      <c r="E2237" s="509">
        <f>($E$2225*$E$2226*$E$2227)/$E$2234</f>
        <v>2.4227280000000003E-4</v>
      </c>
      <c r="F2237" s="509">
        <f>($F$2225*$F$2226*$F$2227)/$F$2234</f>
        <v>0</v>
      </c>
      <c r="G2237" s="509">
        <f>($G$2225*$G$2226*$G$2227)/$G$2234</f>
        <v>9.110277E-3</v>
      </c>
      <c r="H2237" s="509">
        <f>($H$2225*$H$2226*$H$2227)/$H$2234</f>
        <v>6.2161189200000001E-2</v>
      </c>
      <c r="I2237" s="509">
        <f>($I$2225*$I$2226*$I$2227)/$I$2234</f>
        <v>6.4182482100000007E-2</v>
      </c>
      <c r="J2237" s="508"/>
    </row>
    <row r="2238" spans="1:10" ht="21" customHeight="1">
      <c r="A2238" s="507" t="s">
        <v>1329</v>
      </c>
      <c r="B2238" s="508" t="s">
        <v>1397</v>
      </c>
      <c r="C2238" s="508" t="s">
        <v>411</v>
      </c>
      <c r="D2238" s="509">
        <f>($D$2228*$D$2229*$D$2230)/$D$2231</f>
        <v>8.5082382000000012E-2</v>
      </c>
      <c r="E2238" s="509">
        <f>($E$2228*$E$2229*$E$2230)/$E$2231</f>
        <v>6.6224723400000005E-2</v>
      </c>
      <c r="F2238" s="509">
        <f>($F$2228*$F$2229*$F$2230)/$F$2231</f>
        <v>8.5188717900000002E-2</v>
      </c>
      <c r="G2238" s="509">
        <f>($G$2228*$G$2229*$G$2230)/$G$2231</f>
        <v>4.5098717400000002E-2</v>
      </c>
      <c r="H2238" s="509">
        <f>($H$2228*$H$2229*$H$2230)/$H$2231</f>
        <v>4.3701322500000001E-2</v>
      </c>
      <c r="I2238" s="509">
        <f>($I$2228*$I$2229*$I$2230)/$I$2231</f>
        <v>0.1605918006</v>
      </c>
      <c r="J2238" s="508"/>
    </row>
    <row r="2239" spans="1:10" ht="21" customHeight="1">
      <c r="A2239" s="507" t="s">
        <v>1329</v>
      </c>
      <c r="B2239" s="508" t="s">
        <v>1398</v>
      </c>
      <c r="C2239" s="508" t="s">
        <v>397</v>
      </c>
      <c r="D2239" s="509">
        <v>1.4E-5</v>
      </c>
      <c r="E2239" s="509">
        <v>1.4E-5</v>
      </c>
      <c r="F2239" s="509">
        <v>1.4E-5</v>
      </c>
      <c r="G2239" s="509">
        <v>1.4E-5</v>
      </c>
      <c r="H2239" s="509">
        <v>1.4E-5</v>
      </c>
      <c r="I2239" s="509">
        <f>'Cálculos Mayagüez'!AF63</f>
        <v>1.4E-5</v>
      </c>
      <c r="J2239" s="508"/>
    </row>
    <row r="2240" spans="1:10" ht="21" customHeight="1">
      <c r="A2240" s="507" t="s">
        <v>1329</v>
      </c>
      <c r="B2240" s="508" t="s">
        <v>1399</v>
      </c>
      <c r="C2240" s="508" t="s">
        <v>411</v>
      </c>
      <c r="D2240" s="509">
        <f>$D$2130</f>
        <v>333916</v>
      </c>
      <c r="E2240" s="509">
        <f>$E$2130</f>
        <v>308753</v>
      </c>
      <c r="F2240" s="509">
        <f>$F$2130</f>
        <v>474757</v>
      </c>
      <c r="G2240" s="509">
        <f>$G$2130</f>
        <v>523397</v>
      </c>
      <c r="H2240" s="509">
        <f>$H$2130</f>
        <v>185405</v>
      </c>
      <c r="I2240" s="509">
        <f>$I$2130</f>
        <v>118998</v>
      </c>
      <c r="J2240" s="508"/>
    </row>
    <row r="2241" spans="1:10" ht="21" customHeight="1">
      <c r="A2241" s="507" t="s">
        <v>1329</v>
      </c>
      <c r="B2241" s="508" t="s">
        <v>1400</v>
      </c>
      <c r="C2241" s="508" t="s">
        <v>397</v>
      </c>
      <c r="D2241" s="509">
        <v>0.13800000000000001</v>
      </c>
      <c r="E2241" s="509">
        <v>0.13800000000000001</v>
      </c>
      <c r="F2241" s="509">
        <v>0.13800000000000001</v>
      </c>
      <c r="G2241" s="509">
        <v>0.13800000000000001</v>
      </c>
      <c r="H2241" s="509">
        <v>0.13800000000000001</v>
      </c>
      <c r="I2241" s="509">
        <f>'Cálculos Mayagüez'!AJ63</f>
        <v>0.13800000000000001</v>
      </c>
      <c r="J2241" s="508"/>
    </row>
    <row r="2242" spans="1:10" ht="21" customHeight="1">
      <c r="A2242" s="507" t="s">
        <v>1329</v>
      </c>
      <c r="B2242" s="508" t="s">
        <v>583</v>
      </c>
      <c r="C2242" s="508" t="s">
        <v>397</v>
      </c>
      <c r="D2242" s="509">
        <v>1.4E-5</v>
      </c>
      <c r="E2242" s="509">
        <v>1.4E-5</v>
      </c>
      <c r="F2242" s="509">
        <v>1.4E-5</v>
      </c>
      <c r="G2242" s="509">
        <v>1.4E-5</v>
      </c>
      <c r="H2242" s="509">
        <v>1.4E-5</v>
      </c>
      <c r="I2242" s="509">
        <f>'Cálculos Mayagüez'!B63</f>
        <v>1.4E-5</v>
      </c>
      <c r="J2242" s="508"/>
    </row>
    <row r="2243" spans="1:10" ht="21" customHeight="1">
      <c r="A2243" s="507" t="s">
        <v>1329</v>
      </c>
      <c r="B2243" s="508" t="s">
        <v>1401</v>
      </c>
      <c r="C2243" s="508" t="s">
        <v>411</v>
      </c>
      <c r="D2243" s="509">
        <f>$D$2131</f>
        <v>0</v>
      </c>
      <c r="E2243" s="509">
        <f>$E$2131</f>
        <v>0</v>
      </c>
      <c r="F2243" s="509">
        <f>$F$2131</f>
        <v>0</v>
      </c>
      <c r="G2243" s="509">
        <f>$G$2131</f>
        <v>0</v>
      </c>
      <c r="H2243" s="509">
        <f>$H$2131</f>
        <v>0</v>
      </c>
      <c r="I2243" s="509">
        <f>$I$2131</f>
        <v>1707</v>
      </c>
      <c r="J2243" s="508"/>
    </row>
    <row r="2244" spans="1:10" ht="21" customHeight="1">
      <c r="A2244" s="507" t="s">
        <v>1329</v>
      </c>
      <c r="B2244" s="508" t="s">
        <v>584</v>
      </c>
      <c r="C2244" s="508" t="s">
        <v>397</v>
      </c>
      <c r="D2244" s="509">
        <v>0.13800000000000001</v>
      </c>
      <c r="E2244" s="509">
        <v>0.13800000000000001</v>
      </c>
      <c r="F2244" s="509">
        <v>0.13800000000000001</v>
      </c>
      <c r="G2244" s="509">
        <v>0.13800000000000001</v>
      </c>
      <c r="H2244" s="509">
        <v>0.13800000000000001</v>
      </c>
      <c r="I2244" s="509">
        <f>'Cálculos Mayagüez'!F63</f>
        <v>0.13800000000000001</v>
      </c>
      <c r="J2244" s="508"/>
    </row>
    <row r="2245" spans="1:10" ht="21" customHeight="1">
      <c r="A2245" s="507" t="s">
        <v>1329</v>
      </c>
      <c r="B2245" s="508" t="s">
        <v>1311</v>
      </c>
      <c r="C2245" s="508" t="s">
        <v>397</v>
      </c>
      <c r="D2245" s="509">
        <v>1.4E-5</v>
      </c>
      <c r="E2245" s="509">
        <v>1.4E-5</v>
      </c>
      <c r="F2245" s="509">
        <v>1.4E-5</v>
      </c>
      <c r="G2245" s="509">
        <v>1.4E-5</v>
      </c>
      <c r="H2245" s="509">
        <v>1.4E-5</v>
      </c>
      <c r="I2245" s="509">
        <f>'Cálculos Mayagüez'!L63</f>
        <v>1.4E-5</v>
      </c>
      <c r="J2245" s="508"/>
    </row>
    <row r="2246" spans="1:10" ht="21" customHeight="1">
      <c r="A2246" s="507" t="s">
        <v>1329</v>
      </c>
      <c r="B2246" s="508" t="s">
        <v>1402</v>
      </c>
      <c r="C2246" s="508" t="s">
        <v>411</v>
      </c>
      <c r="D2246" s="509">
        <f>$D$2132</f>
        <v>0</v>
      </c>
      <c r="E2246" s="509">
        <f>$E$2132</f>
        <v>1064</v>
      </c>
      <c r="F2246" s="509">
        <f>$F$2132</f>
        <v>0</v>
      </c>
      <c r="G2246" s="509">
        <f>$G$2132</f>
        <v>40010</v>
      </c>
      <c r="H2246" s="509">
        <f>$H$2132</f>
        <v>272996</v>
      </c>
      <c r="I2246" s="509">
        <f>$I$2132</f>
        <v>281873</v>
      </c>
      <c r="J2246" s="508"/>
    </row>
    <row r="2247" spans="1:10" ht="21" customHeight="1">
      <c r="A2247" s="507" t="s">
        <v>1329</v>
      </c>
      <c r="B2247" s="508" t="s">
        <v>1403</v>
      </c>
      <c r="C2247" s="508" t="s">
        <v>397</v>
      </c>
      <c r="D2247" s="509">
        <v>0.13800000000000001</v>
      </c>
      <c r="E2247" s="509">
        <v>0.13800000000000001</v>
      </c>
      <c r="F2247" s="509">
        <v>0.13800000000000001</v>
      </c>
      <c r="G2247" s="509">
        <v>0.13800000000000001</v>
      </c>
      <c r="H2247" s="509">
        <v>0.13800000000000001</v>
      </c>
      <c r="I2247" s="509">
        <f>'Cálculos Mayagüez'!P63</f>
        <v>0.13800000000000001</v>
      </c>
      <c r="J2247" s="508"/>
    </row>
    <row r="2248" spans="1:10" ht="21" customHeight="1">
      <c r="A2248" s="507" t="s">
        <v>1329</v>
      </c>
      <c r="B2248" s="508" t="s">
        <v>1404</v>
      </c>
      <c r="C2248" s="508" t="s">
        <v>397</v>
      </c>
      <c r="D2248" s="509">
        <v>1.4E-5</v>
      </c>
      <c r="E2248" s="509">
        <v>1.4E-5</v>
      </c>
      <c r="F2248" s="509">
        <v>1.4E-5</v>
      </c>
      <c r="G2248" s="509">
        <v>1.4E-5</v>
      </c>
      <c r="H2248" s="509">
        <v>1.4E-5</v>
      </c>
      <c r="I2248" s="509">
        <f>'Cálculos Mayagüez'!V63</f>
        <v>1.4E-5</v>
      </c>
      <c r="J2248" s="508"/>
    </row>
    <row r="2249" spans="1:10" ht="21" customHeight="1">
      <c r="A2249" s="507" t="s">
        <v>1329</v>
      </c>
      <c r="B2249" s="508" t="s">
        <v>1405</v>
      </c>
      <c r="C2249" s="508" t="s">
        <v>411</v>
      </c>
      <c r="D2249" s="509">
        <f>$D$2133</f>
        <v>373660</v>
      </c>
      <c r="E2249" s="509">
        <f>$E$2133</f>
        <v>290842</v>
      </c>
      <c r="F2249" s="509">
        <f>$F$2133</f>
        <v>374127</v>
      </c>
      <c r="G2249" s="509">
        <f>$G$2133</f>
        <v>198062</v>
      </c>
      <c r="H2249" s="509">
        <f>$H$2133</f>
        <v>191925</v>
      </c>
      <c r="I2249" s="509">
        <f>$I$2133</f>
        <v>705278</v>
      </c>
      <c r="J2249" s="508"/>
    </row>
    <row r="2250" spans="1:10" ht="21" customHeight="1">
      <c r="A2250" s="507" t="s">
        <v>1329</v>
      </c>
      <c r="B2250" s="508" t="s">
        <v>1406</v>
      </c>
      <c r="C2250" s="508" t="s">
        <v>397</v>
      </c>
      <c r="D2250" s="509">
        <v>0.13800000000000001</v>
      </c>
      <c r="E2250" s="509">
        <v>0.13800000000000001</v>
      </c>
      <c r="F2250" s="509">
        <v>0.13800000000000001</v>
      </c>
      <c r="G2250" s="509">
        <v>0.13800000000000001</v>
      </c>
      <c r="H2250" s="509">
        <v>0.13800000000000001</v>
      </c>
      <c r="I2250" s="509">
        <f>'Cálculos Mayagüez'!Z63</f>
        <v>0.13800000000000001</v>
      </c>
      <c r="J2250" s="508"/>
    </row>
    <row r="2251" spans="1:10" ht="21" customHeight="1">
      <c r="A2251" s="507" t="s">
        <v>1329</v>
      </c>
      <c r="B2251" s="508" t="s">
        <v>1407</v>
      </c>
      <c r="C2251" s="508" t="s">
        <v>397</v>
      </c>
      <c r="D2251" s="509">
        <v>2000</v>
      </c>
      <c r="E2251" s="509">
        <v>2000</v>
      </c>
      <c r="F2251" s="509">
        <v>2000</v>
      </c>
      <c r="G2251" s="509">
        <v>2000</v>
      </c>
      <c r="H2251" s="509">
        <v>2000</v>
      </c>
      <c r="I2251" s="509">
        <f>'Cálculos Mayagüez'!AB64</f>
        <v>2000</v>
      </c>
      <c r="J2251" s="508"/>
    </row>
    <row r="2252" spans="1:10" ht="21" customHeight="1">
      <c r="A2252" s="507" t="s">
        <v>1329</v>
      </c>
      <c r="B2252" s="508" t="s">
        <v>1408</v>
      </c>
      <c r="C2252" s="508" t="s">
        <v>397</v>
      </c>
      <c r="D2252" s="509">
        <v>2000</v>
      </c>
      <c r="E2252" s="509">
        <v>2000</v>
      </c>
      <c r="F2252" s="509">
        <v>2000</v>
      </c>
      <c r="G2252" s="509">
        <v>2000</v>
      </c>
      <c r="H2252" s="509">
        <v>2000</v>
      </c>
      <c r="I2252" s="509">
        <f>'Cálculos Mayagüez'!AL64</f>
        <v>2000</v>
      </c>
      <c r="J2252" s="508"/>
    </row>
    <row r="2253" spans="1:10" ht="21" customHeight="1">
      <c r="A2253" s="507" t="s">
        <v>1329</v>
      </c>
      <c r="B2253" s="508" t="s">
        <v>1409</v>
      </c>
      <c r="C2253" s="508" t="s">
        <v>397</v>
      </c>
      <c r="D2253" s="509">
        <v>2000</v>
      </c>
      <c r="E2253" s="509">
        <v>2000</v>
      </c>
      <c r="F2253" s="509">
        <v>2000</v>
      </c>
      <c r="G2253" s="509">
        <v>2000</v>
      </c>
      <c r="H2253" s="509">
        <v>2000</v>
      </c>
      <c r="I2253" s="509">
        <f>'Cálculos Mayagüez'!H64</f>
        <v>2000</v>
      </c>
      <c r="J2253" s="508"/>
    </row>
    <row r="2254" spans="1:10" ht="21" customHeight="1">
      <c r="A2254" s="507" t="s">
        <v>1329</v>
      </c>
      <c r="B2254" s="508" t="s">
        <v>1410</v>
      </c>
      <c r="C2254" s="508" t="s">
        <v>397</v>
      </c>
      <c r="D2254" s="509">
        <v>2000</v>
      </c>
      <c r="E2254" s="509">
        <v>2000</v>
      </c>
      <c r="F2254" s="509">
        <v>2000</v>
      </c>
      <c r="G2254" s="509">
        <v>2000</v>
      </c>
      <c r="H2254" s="509">
        <v>2000</v>
      </c>
      <c r="I2254" s="509">
        <f>'Cálculos Mayagüez'!R64</f>
        <v>2000</v>
      </c>
      <c r="J2254" s="508"/>
    </row>
    <row r="2255" spans="1:10" ht="21" customHeight="1">
      <c r="A2255" s="507" t="s">
        <v>1329</v>
      </c>
      <c r="B2255" s="508" t="s">
        <v>1411</v>
      </c>
      <c r="C2255" s="508" t="s">
        <v>411</v>
      </c>
      <c r="D2255" s="509">
        <f>($D$2239*$D$2240*$D$2241)/$D$2252</f>
        <v>3.2256285600000003E-4</v>
      </c>
      <c r="E2255" s="509">
        <f>($E$2239*$E$2240*$E$2241)/$E$2252</f>
        <v>2.9825539800000007E-4</v>
      </c>
      <c r="F2255" s="509">
        <f>($F$2239*$F$2240*$F$2241)/$F$2252</f>
        <v>4.5861526200000004E-4</v>
      </c>
      <c r="G2255" s="509">
        <f>($G$2239*$G$2240*$G$2241)/$G$2252</f>
        <v>5.05601502E-4</v>
      </c>
      <c r="H2255" s="509">
        <f>($H$2239*$H$2240*$H$2241)/$H$2252</f>
        <v>1.7910123000000003E-4</v>
      </c>
      <c r="I2255" s="509">
        <f>($I$2239*$I$2240*$I$2241)/$I$2252</f>
        <v>1.1495206800000001E-4</v>
      </c>
      <c r="J2255" s="508"/>
    </row>
    <row r="2256" spans="1:10" ht="21" customHeight="1">
      <c r="A2256" s="507" t="s">
        <v>1329</v>
      </c>
      <c r="B2256" s="508" t="s">
        <v>585</v>
      </c>
      <c r="C2256" s="508" t="s">
        <v>411</v>
      </c>
      <c r="D2256" s="509">
        <f>($D$2242*$D$2243*$D$2244)/$D$2253</f>
        <v>0</v>
      </c>
      <c r="E2256" s="509">
        <f>($E$2242*$E$2243*$E$2244)/$E$2253</f>
        <v>0</v>
      </c>
      <c r="F2256" s="509">
        <f>($F$2242*$F$2243*$F$2244)/$F$2253</f>
        <v>0</v>
      </c>
      <c r="G2256" s="509">
        <f>($G$2242*$G$2243*$G$2244)/$G$2253</f>
        <v>0</v>
      </c>
      <c r="H2256" s="509">
        <f>($H$2242*$H$2243*$H$2244)/$H$2253</f>
        <v>0</v>
      </c>
      <c r="I2256" s="509">
        <f>($I$2242*$I$2243*$I$2244)/$I$2253</f>
        <v>1.6489620000000002E-6</v>
      </c>
      <c r="J2256" s="508"/>
    </row>
    <row r="2257" spans="1:10" ht="21" customHeight="1">
      <c r="A2257" s="507" t="s">
        <v>1329</v>
      </c>
      <c r="B2257" s="508" t="s">
        <v>1412</v>
      </c>
      <c r="C2257" s="508" t="s">
        <v>411</v>
      </c>
      <c r="D2257" s="509">
        <f>($D$2245*$D$2246*$D$2247)/$D$2254</f>
        <v>0</v>
      </c>
      <c r="E2257" s="509">
        <f>($E$2245*$E$2246*$E$2247)/$E$2254</f>
        <v>1.0278240000000002E-6</v>
      </c>
      <c r="F2257" s="509">
        <f>($F$2245*$F$2246*$F$2247)/$F$2254</f>
        <v>0</v>
      </c>
      <c r="G2257" s="509">
        <f>($G$2245*$G$2246*$G$2247)/$G$2254</f>
        <v>3.8649660000000001E-5</v>
      </c>
      <c r="H2257" s="509">
        <f>($H$2245*$H$2246*$H$2247)/$H$2254</f>
        <v>2.6371413599999996E-4</v>
      </c>
      <c r="I2257" s="509">
        <f>($I$2245*$I$2246*$I$2247)/$I$2254</f>
        <v>2.7228931800000008E-4</v>
      </c>
      <c r="J2257" s="508"/>
    </row>
    <row r="2258" spans="1:10" ht="21" customHeight="1">
      <c r="A2258" s="507" t="s">
        <v>1329</v>
      </c>
      <c r="B2258" s="508" t="s">
        <v>1413</v>
      </c>
      <c r="C2258" s="508" t="s">
        <v>411</v>
      </c>
      <c r="D2258" s="509">
        <f>($D$2248*$D$2249*$D$2250)/$D$2251</f>
        <v>3.6095556000000003E-4</v>
      </c>
      <c r="E2258" s="509">
        <f>($E$2248*$E$2249*$E$2250)/$E$2251</f>
        <v>2.80953372E-4</v>
      </c>
      <c r="F2258" s="509">
        <f>($F$2248*$F$2249*$F$2250)/$F$2251</f>
        <v>3.6140668199999997E-4</v>
      </c>
      <c r="G2258" s="509">
        <f>($G$2248*$G$2249*$G$2250)/$G$2251</f>
        <v>1.9132789199999999E-4</v>
      </c>
      <c r="H2258" s="509">
        <f>($H$2248*$H$2249*$H$2250)/$H$2251</f>
        <v>1.8539955000000002E-4</v>
      </c>
      <c r="I2258" s="509">
        <f>($I$2248*$I$2249*$I$2250)/$I$2251</f>
        <v>6.8129854799999997E-4</v>
      </c>
      <c r="J2258" s="508"/>
    </row>
    <row r="2259" spans="1:10" ht="21" customHeight="1">
      <c r="A2259" s="507" t="s">
        <v>1329</v>
      </c>
      <c r="B2259" s="508" t="s">
        <v>1414</v>
      </c>
      <c r="C2259" s="508" t="s">
        <v>411</v>
      </c>
      <c r="D2259" s="509">
        <f>$D$2135</f>
        <v>22.578420600240001</v>
      </c>
      <c r="E2259" s="509">
        <f>$E$2135</f>
        <v>22.578420600240001</v>
      </c>
      <c r="F2259" s="509">
        <f>$F$2135</f>
        <v>22.578420600240001</v>
      </c>
      <c r="G2259" s="509">
        <f>$G$2135</f>
        <v>22.578420600240001</v>
      </c>
      <c r="H2259" s="509">
        <f>$H$2135</f>
        <v>22.578420600240001</v>
      </c>
      <c r="I2259" s="509">
        <f>$I$2135</f>
        <v>22.578420600240001</v>
      </c>
      <c r="J2259" s="508"/>
    </row>
    <row r="2260" spans="1:10" ht="21" customHeight="1">
      <c r="A2260" s="507" t="s">
        <v>1329</v>
      </c>
      <c r="B2260" s="508" t="s">
        <v>1415</v>
      </c>
      <c r="C2260" s="508" t="s">
        <v>411</v>
      </c>
      <c r="D2260" s="509">
        <f>$D$2240</f>
        <v>333916</v>
      </c>
      <c r="E2260" s="509">
        <f>$E$2240</f>
        <v>308753</v>
      </c>
      <c r="F2260" s="509">
        <f>$F$2240</f>
        <v>474757</v>
      </c>
      <c r="G2260" s="509">
        <f>$G$2240</f>
        <v>523397</v>
      </c>
      <c r="H2260" s="509">
        <f>$H$2240</f>
        <v>185405</v>
      </c>
      <c r="I2260" s="509">
        <f>$I$2240</f>
        <v>118998</v>
      </c>
      <c r="J2260" s="508"/>
    </row>
    <row r="2261" spans="1:10" ht="21" customHeight="1">
      <c r="A2261" s="507" t="s">
        <v>1329</v>
      </c>
      <c r="B2261" s="508" t="s">
        <v>588</v>
      </c>
      <c r="C2261" s="508" t="s">
        <v>411</v>
      </c>
      <c r="D2261" s="509">
        <f>$D$2135</f>
        <v>22.578420600240001</v>
      </c>
      <c r="E2261" s="509">
        <f>$E$2135</f>
        <v>22.578420600240001</v>
      </c>
      <c r="F2261" s="509">
        <f>$F$2135</f>
        <v>22.578420600240001</v>
      </c>
      <c r="G2261" s="509">
        <f>$G$2135</f>
        <v>22.578420600240001</v>
      </c>
      <c r="H2261" s="509">
        <f>$H$2135</f>
        <v>22.578420600240001</v>
      </c>
      <c r="I2261" s="509">
        <f>$I$2135</f>
        <v>22.578420600240001</v>
      </c>
      <c r="J2261" s="508"/>
    </row>
    <row r="2262" spans="1:10" ht="21" customHeight="1">
      <c r="A2262" s="507" t="s">
        <v>1329</v>
      </c>
      <c r="B2262" s="508" t="s">
        <v>1416</v>
      </c>
      <c r="C2262" s="508" t="s">
        <v>411</v>
      </c>
      <c r="D2262" s="509">
        <f>$D$2243</f>
        <v>0</v>
      </c>
      <c r="E2262" s="509">
        <f>$E$2243</f>
        <v>0</v>
      </c>
      <c r="F2262" s="509">
        <f>$F$2243</f>
        <v>0</v>
      </c>
      <c r="G2262" s="509">
        <f>$G$2243</f>
        <v>0</v>
      </c>
      <c r="H2262" s="509">
        <f>$H$2243</f>
        <v>0</v>
      </c>
      <c r="I2262" s="509">
        <f>$I$2243</f>
        <v>1707</v>
      </c>
      <c r="J2262" s="508"/>
    </row>
    <row r="2263" spans="1:10" ht="21" customHeight="1">
      <c r="A2263" s="507" t="s">
        <v>1329</v>
      </c>
      <c r="B2263" s="508" t="s">
        <v>1294</v>
      </c>
      <c r="C2263" s="508" t="s">
        <v>411</v>
      </c>
      <c r="D2263" s="509">
        <f>$D$2135</f>
        <v>22.578420600240001</v>
      </c>
      <c r="E2263" s="509">
        <f>$E$2135</f>
        <v>22.578420600240001</v>
      </c>
      <c r="F2263" s="509">
        <f>$F$2135</f>
        <v>22.578420600240001</v>
      </c>
      <c r="G2263" s="509">
        <f>$G$2135</f>
        <v>22.578420600240001</v>
      </c>
      <c r="H2263" s="509">
        <f>$H$2135</f>
        <v>22.578420600240001</v>
      </c>
      <c r="I2263" s="509">
        <f>$I$2135</f>
        <v>22.578420600240001</v>
      </c>
      <c r="J2263" s="508"/>
    </row>
    <row r="2264" spans="1:10" ht="21" customHeight="1">
      <c r="A2264" s="507" t="s">
        <v>1329</v>
      </c>
      <c r="B2264" s="508" t="s">
        <v>1417</v>
      </c>
      <c r="C2264" s="508" t="s">
        <v>411</v>
      </c>
      <c r="D2264" s="509">
        <f>$D$2246</f>
        <v>0</v>
      </c>
      <c r="E2264" s="509">
        <f>$E$2246</f>
        <v>1064</v>
      </c>
      <c r="F2264" s="509">
        <f>$F$2246</f>
        <v>0</v>
      </c>
      <c r="G2264" s="509">
        <f>$G$2246</f>
        <v>40010</v>
      </c>
      <c r="H2264" s="509">
        <f>$H$2246</f>
        <v>272996</v>
      </c>
      <c r="I2264" s="509">
        <f>$I$2246</f>
        <v>281873</v>
      </c>
      <c r="J2264" s="508"/>
    </row>
    <row r="2265" spans="1:10" ht="21" customHeight="1">
      <c r="A2265" s="507" t="s">
        <v>1329</v>
      </c>
      <c r="B2265" s="508" t="s">
        <v>1418</v>
      </c>
      <c r="C2265" s="508" t="s">
        <v>411</v>
      </c>
      <c r="D2265" s="509">
        <f>$D$2135</f>
        <v>22.578420600240001</v>
      </c>
      <c r="E2265" s="509">
        <f>$E$2135</f>
        <v>22.578420600240001</v>
      </c>
      <c r="F2265" s="509">
        <f>$F$2135</f>
        <v>22.578420600240001</v>
      </c>
      <c r="G2265" s="509">
        <f>$G$2135</f>
        <v>22.578420600240001</v>
      </c>
      <c r="H2265" s="509">
        <f>$H$2135</f>
        <v>22.578420600240001</v>
      </c>
      <c r="I2265" s="509">
        <f>$I$2135</f>
        <v>22.578420600240001</v>
      </c>
      <c r="J2265" s="508"/>
    </row>
    <row r="2266" spans="1:10" ht="21" customHeight="1">
      <c r="A2266" s="507" t="s">
        <v>1329</v>
      </c>
      <c r="B2266" s="508" t="s">
        <v>1419</v>
      </c>
      <c r="C2266" s="508" t="s">
        <v>411</v>
      </c>
      <c r="D2266" s="509">
        <f>$D$2249</f>
        <v>373660</v>
      </c>
      <c r="E2266" s="509">
        <f>$E$2249</f>
        <v>290842</v>
      </c>
      <c r="F2266" s="509">
        <f>$F$2249</f>
        <v>374127</v>
      </c>
      <c r="G2266" s="509">
        <f>$G$2249</f>
        <v>198062</v>
      </c>
      <c r="H2266" s="509">
        <f>$H$2249</f>
        <v>191925</v>
      </c>
      <c r="I2266" s="509">
        <f>$I$2249</f>
        <v>705278</v>
      </c>
      <c r="J2266" s="508"/>
    </row>
    <row r="2267" spans="1:10" ht="21" customHeight="1">
      <c r="A2267" s="507" t="s">
        <v>1329</v>
      </c>
      <c r="B2267" s="508" t="s">
        <v>1420</v>
      </c>
      <c r="C2267" s="508" t="s">
        <v>397</v>
      </c>
      <c r="D2267" s="509">
        <v>2000</v>
      </c>
      <c r="E2267" s="509">
        <v>2000</v>
      </c>
      <c r="F2267" s="509">
        <v>2000</v>
      </c>
      <c r="G2267" s="509">
        <v>2000</v>
      </c>
      <c r="H2267" s="509">
        <v>2000</v>
      </c>
      <c r="I2267" s="509">
        <f>'Cálculos Mayagüez'!AJ73</f>
        <v>2000</v>
      </c>
      <c r="J2267" s="508"/>
    </row>
    <row r="2268" spans="1:10" ht="21" customHeight="1">
      <c r="A2268" s="507" t="s">
        <v>1329</v>
      </c>
      <c r="B2268" s="508" t="s">
        <v>1421</v>
      </c>
      <c r="C2268" s="508" t="s">
        <v>397</v>
      </c>
      <c r="D2268" s="509">
        <v>2000</v>
      </c>
      <c r="E2268" s="509">
        <v>2000</v>
      </c>
      <c r="F2268" s="509">
        <v>2000</v>
      </c>
      <c r="G2268" s="509">
        <v>2000</v>
      </c>
      <c r="H2268" s="509">
        <v>2000</v>
      </c>
      <c r="I2268" s="509">
        <f>'Cálculos Mayagüez'!F73</f>
        <v>2000</v>
      </c>
      <c r="J2268" s="508"/>
    </row>
    <row r="2269" spans="1:10" ht="21" customHeight="1">
      <c r="A2269" s="507" t="s">
        <v>1329</v>
      </c>
      <c r="B2269" s="508" t="s">
        <v>1422</v>
      </c>
      <c r="C2269" s="508" t="s">
        <v>397</v>
      </c>
      <c r="D2269" s="509">
        <v>2000</v>
      </c>
      <c r="E2269" s="509">
        <v>2000</v>
      </c>
      <c r="F2269" s="509">
        <v>2000</v>
      </c>
      <c r="G2269" s="509">
        <v>2000</v>
      </c>
      <c r="H2269" s="509">
        <v>2000</v>
      </c>
      <c r="I2269" s="509">
        <f>'Cálculos Mayagüez'!P73</f>
        <v>2000</v>
      </c>
      <c r="J2269" s="508"/>
    </row>
    <row r="2270" spans="1:10" ht="21" customHeight="1">
      <c r="A2270" s="507" t="s">
        <v>1329</v>
      </c>
      <c r="B2270" s="508" t="s">
        <v>1423</v>
      </c>
      <c r="C2270" s="508" t="s">
        <v>397</v>
      </c>
      <c r="D2270" s="509">
        <v>2000</v>
      </c>
      <c r="E2270" s="509">
        <v>2000</v>
      </c>
      <c r="F2270" s="509">
        <v>2000</v>
      </c>
      <c r="G2270" s="509">
        <v>2000</v>
      </c>
      <c r="H2270" s="509">
        <v>2000</v>
      </c>
      <c r="I2270" s="509">
        <f>'Cálculos Mayagüez'!Z73</f>
        <v>2000</v>
      </c>
      <c r="J2270" s="508"/>
    </row>
    <row r="2271" spans="1:10" ht="21" customHeight="1">
      <c r="A2271" s="507" t="s">
        <v>1329</v>
      </c>
      <c r="B2271" s="508" t="s">
        <v>1424</v>
      </c>
      <c r="C2271" s="508" t="s">
        <v>411</v>
      </c>
      <c r="D2271" s="509">
        <f>$D$2259*$D$2260/$D$2267</f>
        <v>3769.6479465748698</v>
      </c>
      <c r="E2271" s="509">
        <f>$E$2259*$E$2260/$E$2267</f>
        <v>3485.5775477929506</v>
      </c>
      <c r="F2271" s="509">
        <f>$F$2259*$F$2260/$F$2267</f>
        <v>5359.6316144540706</v>
      </c>
      <c r="G2271" s="509">
        <f>$G$2259*$G$2260/$G$2267</f>
        <v>5908.7388034519081</v>
      </c>
      <c r="H2271" s="509">
        <f>$H$2259*$H$2260/$H$2267</f>
        <v>2093.0760356937485</v>
      </c>
      <c r="I2271" s="509">
        <f>$I$2259*$I$2260/$I$2267</f>
        <v>1343.3934472936799</v>
      </c>
      <c r="J2271" s="508"/>
    </row>
    <row r="2272" spans="1:10" ht="21" customHeight="1">
      <c r="A2272" s="507" t="s">
        <v>1329</v>
      </c>
      <c r="B2272" s="508" t="s">
        <v>739</v>
      </c>
      <c r="C2272" s="508" t="s">
        <v>411</v>
      </c>
      <c r="D2272" s="509">
        <f>$D$2261*$D$2262/$D$2268</f>
        <v>0</v>
      </c>
      <c r="E2272" s="509">
        <f>$E$2261*$E$2262/$E$2268</f>
        <v>0</v>
      </c>
      <c r="F2272" s="509">
        <f>$F$2261*$F$2262/$F$2268</f>
        <v>0</v>
      </c>
      <c r="G2272" s="509">
        <f>$G$2261*$G$2262/$G$2268</f>
        <v>0</v>
      </c>
      <c r="H2272" s="509">
        <f>$H$2261*$H$2262/$H$2268</f>
        <v>0</v>
      </c>
      <c r="I2272" s="509">
        <f>$I$2261*$I$2262/$I$2268</f>
        <v>19.270681982304843</v>
      </c>
      <c r="J2272" s="508"/>
    </row>
    <row r="2273" spans="1:10" ht="21" customHeight="1">
      <c r="A2273" s="507" t="s">
        <v>1329</v>
      </c>
      <c r="B2273" s="508" t="s">
        <v>1425</v>
      </c>
      <c r="C2273" s="508" t="s">
        <v>411</v>
      </c>
      <c r="D2273" s="509">
        <f>$D$2263*$D$2264/$D$2269</f>
        <v>0</v>
      </c>
      <c r="E2273" s="509">
        <f>$E$2263*$E$2264/$E$2269</f>
        <v>12.011719759327681</v>
      </c>
      <c r="F2273" s="509">
        <f>$F$2263*$F$2264/$F$2269</f>
        <v>0</v>
      </c>
      <c r="G2273" s="509">
        <f>$G$2263*$G$2264/$G$2269</f>
        <v>451.68130410780122</v>
      </c>
      <c r="H2273" s="509">
        <f>$H$2263*$H$2264/$H$2269</f>
        <v>3081.9092550915598</v>
      </c>
      <c r="I2273" s="509">
        <f>$I$2263*$I$2264/$I$2269</f>
        <v>3182.1235749257248</v>
      </c>
      <c r="J2273" s="508"/>
    </row>
    <row r="2274" spans="1:10" ht="21" customHeight="1">
      <c r="A2274" s="507" t="s">
        <v>1329</v>
      </c>
      <c r="B2274" s="508" t="s">
        <v>1426</v>
      </c>
      <c r="C2274" s="508" t="s">
        <v>411</v>
      </c>
      <c r="D2274" s="509">
        <f>$D$2265*$D$2266/$D$2270</f>
        <v>4218.326320742839</v>
      </c>
      <c r="E2274" s="509">
        <f>$E$2265*$E$2266/$E$2270</f>
        <v>3283.376502107501</v>
      </c>
      <c r="F2274" s="509">
        <f>$F$2265*$F$2266/$F$2270</f>
        <v>4223.5983819529956</v>
      </c>
      <c r="G2274" s="509">
        <f>$G$2265*$G$2266/$G$2270</f>
        <v>2235.9635704623674</v>
      </c>
      <c r="H2274" s="509">
        <f>$H$2265*$H$2266/$H$2270</f>
        <v>2166.6816868505312</v>
      </c>
      <c r="I2274" s="509">
        <f>$I$2265*$I$2266/$I$2270</f>
        <v>7962.0316620480335</v>
      </c>
      <c r="J2274" s="508"/>
    </row>
    <row r="2275" spans="1:10" ht="21" customHeight="1">
      <c r="A2275" s="510" t="s">
        <v>1427</v>
      </c>
      <c r="B2275" s="506"/>
      <c r="C2275" s="506"/>
      <c r="D2275" s="511"/>
      <c r="E2275" s="511"/>
      <c r="F2275" s="511"/>
      <c r="G2275" s="511"/>
      <c r="H2275" s="511"/>
      <c r="I2275" s="512"/>
      <c r="J2275" s="506"/>
    </row>
    <row r="2276" spans="1:10" ht="21" customHeight="1">
      <c r="A2276" s="507" t="s">
        <v>1427</v>
      </c>
      <c r="B2276" s="508" t="s">
        <v>661</v>
      </c>
      <c r="C2276" s="508" t="s">
        <v>411</v>
      </c>
      <c r="D2276" s="509">
        <f>$D$2156+$D$2157+$D$2158+$D$2155</f>
        <v>0.58587292800000013</v>
      </c>
      <c r="E2276" s="509">
        <f>$E$2156+$E$2157+$E$2158+$E$2155</f>
        <v>0.49734565200000008</v>
      </c>
      <c r="F2276" s="509">
        <f>$F$2156+$F$2157+$F$2158+$F$2155</f>
        <v>0.70287595200000008</v>
      </c>
      <c r="G2276" s="509">
        <f>$G$2156+$G$2157+$G$2158+$G$2155</f>
        <v>0.6304963320000001</v>
      </c>
      <c r="H2276" s="509">
        <f>$H$2156+$H$2157+$H$2158+$H$2155</f>
        <v>0.53846992800000004</v>
      </c>
      <c r="I2276" s="509">
        <f>$I$2156+$I$2157+$I$2158+$I$2155</f>
        <v>0.91730476800000005</v>
      </c>
      <c r="J2276" s="508" t="s">
        <v>11</v>
      </c>
    </row>
    <row r="2277" spans="1:10" ht="21" customHeight="1">
      <c r="A2277" s="507" t="s">
        <v>1427</v>
      </c>
      <c r="B2277" s="508" t="s">
        <v>662</v>
      </c>
      <c r="C2277" s="508" t="s">
        <v>411</v>
      </c>
      <c r="D2277" s="509">
        <f>$D$2176+$D$2177+$D$2178+$D$2175</f>
        <v>4.9310971440000018E-2</v>
      </c>
      <c r="E2277" s="509">
        <f>$E$2176+$E$2177+$E$2178+$E$2175</f>
        <v>0.41859925710000001</v>
      </c>
      <c r="F2277" s="509">
        <f>$F$2176+$F$2177+$F$2178+$F$2175</f>
        <v>0.59158725960000003</v>
      </c>
      <c r="G2277" s="509">
        <f>$G$2176+$G$2177+$G$2178+$G$2175</f>
        <v>0.5306677461</v>
      </c>
      <c r="H2277" s="509">
        <f>$H$2176+$H$2177+$H$2178+$H$2175</f>
        <v>0.45321218940000002</v>
      </c>
      <c r="I2277" s="509">
        <f>$I$2176+$I$2177+$I$2178+$I$2175</f>
        <v>0.77206484639999995</v>
      </c>
      <c r="J2277" s="508" t="s">
        <v>35</v>
      </c>
    </row>
    <row r="2278" spans="1:10" ht="21" customHeight="1">
      <c r="A2278" s="507" t="s">
        <v>1427</v>
      </c>
      <c r="B2278" s="508" t="s">
        <v>663</v>
      </c>
      <c r="C2278" s="508" t="s">
        <v>411</v>
      </c>
      <c r="D2278" s="509">
        <f>$D$2196+$D$2197+$D$2198+$D$2195</f>
        <v>14.043262599492838</v>
      </c>
      <c r="E2278" s="509">
        <f>$E$2196+$E$2197+$E$2198+$E$2195</f>
        <v>11.921280639463134</v>
      </c>
      <c r="F2278" s="509">
        <f>$F$2196+$F$2197+$F$2198+$F$2195</f>
        <v>16.847802820485541</v>
      </c>
      <c r="G2278" s="509">
        <f>$G$2196+$G$2197+$G$2198+$G$2195</f>
        <v>15.112877102068486</v>
      </c>
      <c r="H2278" s="509">
        <f>$H$2196+$H$2197+$H$2198+$H$2195</f>
        <v>12.907021709721327</v>
      </c>
      <c r="I2278" s="509">
        <f>$I$2196+$I$2197+$I$2198+$I$2195</f>
        <v>21.987620736745928</v>
      </c>
      <c r="J2278" s="508" t="s">
        <v>14</v>
      </c>
    </row>
    <row r="2279" spans="1:10" ht="21" customHeight="1">
      <c r="A2279" s="507" t="s">
        <v>1427</v>
      </c>
      <c r="B2279" s="508" t="s">
        <v>664</v>
      </c>
      <c r="C2279" s="508" t="s">
        <v>411</v>
      </c>
      <c r="D2279" s="509">
        <f>$D$2216+$D$2217+$D$2218+$D$2215</f>
        <v>2.0017325040000002E-2</v>
      </c>
      <c r="E2279" s="509">
        <f>$E$2216+$E$2217+$E$2218+$E$2215</f>
        <v>1.6992643110000004E-2</v>
      </c>
      <c r="F2279" s="509">
        <f>$F$2216+$F$2217+$F$2218+$F$2215</f>
        <v>2.4014928360000003E-2</v>
      </c>
      <c r="G2279" s="509">
        <f>$G$2216+$G$2217+$G$2218+$G$2215</f>
        <v>2.1541958010000001E-2</v>
      </c>
      <c r="H2279" s="509">
        <f>$H$2216+$H$2217+$H$2218+$H$2215</f>
        <v>1.8397722540000001E-2</v>
      </c>
      <c r="I2279" s="509">
        <f>$I$2216+$I$2217+$I$2218+$I$2215</f>
        <v>3.1341246239999995E-2</v>
      </c>
      <c r="J2279" s="508" t="s">
        <v>16</v>
      </c>
    </row>
    <row r="2280" spans="1:10" ht="21" customHeight="1">
      <c r="A2280" s="507" t="s">
        <v>1427</v>
      </c>
      <c r="B2280" s="508" t="s">
        <v>665</v>
      </c>
      <c r="C2280" s="508" t="s">
        <v>411</v>
      </c>
      <c r="D2280" s="509">
        <f>$D$2236+$D$2237+$D$2238+$D$2235</f>
        <v>0.16111505520000002</v>
      </c>
      <c r="E2280" s="509">
        <f>$E$2236+$E$2237+$E$2238+$E$2235</f>
        <v>0.1367700543</v>
      </c>
      <c r="F2280" s="509">
        <f>$F$2236+$F$2237+$F$2238+$F$2235</f>
        <v>0.19329088680000001</v>
      </c>
      <c r="G2280" s="509">
        <f>$G$2236+$G$2237+$G$2238+$G$2235</f>
        <v>0.1733864913</v>
      </c>
      <c r="H2280" s="509">
        <f>$H$2236+$H$2237+$H$2238+$H$2235</f>
        <v>0.14807923019999999</v>
      </c>
      <c r="I2280" s="509">
        <f>$I$2236+$I$2237+$I$2238+$I$2235</f>
        <v>0.25225881120000004</v>
      </c>
      <c r="J2280" s="508" t="s">
        <v>667</v>
      </c>
    </row>
    <row r="2281" spans="1:10" ht="21" customHeight="1">
      <c r="A2281" s="507" t="s">
        <v>1427</v>
      </c>
      <c r="B2281" s="508" t="s">
        <v>565</v>
      </c>
      <c r="C2281" s="508" t="s">
        <v>411</v>
      </c>
      <c r="D2281" s="509">
        <f>$D$2256+$D$2257+$D$2258+$D$2255</f>
        <v>6.83518416E-4</v>
      </c>
      <c r="E2281" s="509">
        <f>$E$2256+$E$2257+$E$2258+$E$2255</f>
        <v>5.8023659400000004E-4</v>
      </c>
      <c r="F2281" s="509">
        <f>$F$2256+$F$2257+$F$2258+$F$2255</f>
        <v>8.2002194400000001E-4</v>
      </c>
      <c r="G2281" s="509">
        <f>$G$2256+$G$2257+$G$2258+$G$2255</f>
        <v>7.3557905399999999E-4</v>
      </c>
      <c r="H2281" s="509">
        <f>$H$2256+$H$2257+$H$2258+$H$2255</f>
        <v>6.2821491600000001E-4</v>
      </c>
      <c r="I2281" s="509">
        <f>$I$2256+$I$2257+$I$2258+$I$2255</f>
        <v>1.070188896E-3</v>
      </c>
      <c r="J2281" s="508" t="s">
        <v>1268</v>
      </c>
    </row>
    <row r="2282" spans="1:10" ht="21" customHeight="1">
      <c r="A2282" s="507" t="s">
        <v>1427</v>
      </c>
      <c r="B2282" s="508" t="s">
        <v>666</v>
      </c>
      <c r="C2282" s="508" t="s">
        <v>411</v>
      </c>
      <c r="D2282" s="509">
        <f>$D$2272+$D$2273+$D$2274+$D$2271</f>
        <v>7987.9742673177088</v>
      </c>
      <c r="E2282" s="509">
        <f>$E$2272+$E$2273+$E$2274+$E$2271</f>
        <v>6780.9657696597787</v>
      </c>
      <c r="F2282" s="509">
        <f>$F$2272+$F$2273+$F$2274+$F$2271</f>
        <v>9583.2299964070662</v>
      </c>
      <c r="G2282" s="509">
        <f>$G$2272+$G$2273+$G$2274+$G$2271</f>
        <v>8596.3836780220772</v>
      </c>
      <c r="H2282" s="509">
        <f>$H$2272+$H$2273+$H$2274+$H$2271</f>
        <v>7341.6669776358394</v>
      </c>
      <c r="I2282" s="509">
        <f>$I$2272+$I$2273+$I$2274+$I$2271</f>
        <v>12506.819366249743</v>
      </c>
      <c r="J2282" s="508" t="s">
        <v>671</v>
      </c>
    </row>
    <row r="2283" spans="1:10" ht="21" customHeight="1">
      <c r="A2283" s="510" t="s">
        <v>1428</v>
      </c>
      <c r="B2283" s="506"/>
      <c r="C2283" s="506"/>
      <c r="D2283" s="511"/>
      <c r="E2283" s="511"/>
      <c r="F2283" s="511"/>
      <c r="G2283" s="511"/>
      <c r="H2283" s="511"/>
      <c r="I2283" s="512"/>
      <c r="J2283" s="506"/>
    </row>
    <row r="2284" spans="1:10" ht="21" customHeight="1">
      <c r="A2284" s="507" t="s">
        <v>1428</v>
      </c>
      <c r="B2284" s="508" t="s">
        <v>926</v>
      </c>
      <c r="C2284" s="508" t="s">
        <v>411</v>
      </c>
      <c r="D2284" s="509"/>
      <c r="E2284" s="509"/>
      <c r="F2284" s="509"/>
      <c r="G2284" s="509">
        <f>SUM($G$2340+$G$2341)</f>
        <v>6.3239999999999998</v>
      </c>
      <c r="H2284" s="509">
        <f>SUM($H$1620+$H$1621)</f>
        <v>4.8959999999999999</v>
      </c>
      <c r="I2284" s="509"/>
      <c r="J2284" s="508" t="s">
        <v>1230</v>
      </c>
    </row>
    <row r="2285" spans="1:10" ht="21" customHeight="1">
      <c r="A2285" s="507" t="s">
        <v>1428</v>
      </c>
      <c r="B2285" s="508" t="s">
        <v>661</v>
      </c>
      <c r="C2285" s="508" t="s">
        <v>411</v>
      </c>
      <c r="D2285" s="509"/>
      <c r="E2285" s="509"/>
      <c r="F2285" s="509"/>
      <c r="G2285" s="509">
        <f>SUM($G$2368+$G$2369)</f>
        <v>16.988</v>
      </c>
      <c r="H2285" s="509">
        <f>SUM($H$1648+$H$1649)</f>
        <v>13.151999999999999</v>
      </c>
      <c r="I2285" s="509"/>
      <c r="J2285" s="508" t="s">
        <v>35</v>
      </c>
    </row>
    <row r="2286" spans="1:10" ht="21" customHeight="1">
      <c r="A2286" s="507" t="s">
        <v>1428</v>
      </c>
      <c r="B2286" s="508" t="s">
        <v>662</v>
      </c>
      <c r="C2286" s="508" t="s">
        <v>411</v>
      </c>
      <c r="D2286" s="509"/>
      <c r="E2286" s="509"/>
      <c r="F2286" s="509"/>
      <c r="G2286" s="509">
        <f>SUM($G$1785)</f>
        <v>14.7476</v>
      </c>
      <c r="H2286" s="509">
        <f>SUM($H$1785)</f>
        <v>14.131550000000001</v>
      </c>
      <c r="I2286" s="509"/>
      <c r="J2286" s="508" t="s">
        <v>1231</v>
      </c>
    </row>
    <row r="2287" spans="1:10" ht="21" customHeight="1">
      <c r="A2287" s="507" t="s">
        <v>1428</v>
      </c>
      <c r="B2287" s="508" t="s">
        <v>663</v>
      </c>
      <c r="C2287" s="508" t="s">
        <v>411</v>
      </c>
      <c r="D2287" s="509"/>
      <c r="E2287" s="509"/>
      <c r="F2287" s="509"/>
      <c r="G2287" s="509">
        <f>SUM($G$2384+$G$2385)</f>
        <v>1.4689999999999999</v>
      </c>
      <c r="H2287" s="509">
        <f>SUM($H$1664+$H$1665)</f>
        <v>1.1419999999999999</v>
      </c>
      <c r="I2287" s="509"/>
      <c r="J2287" s="508" t="s">
        <v>16</v>
      </c>
    </row>
    <row r="2288" spans="1:10" ht="21" customHeight="1">
      <c r="A2288" s="507" t="s">
        <v>1428</v>
      </c>
      <c r="B2288" s="508" t="s">
        <v>664</v>
      </c>
      <c r="C2288" s="508" t="s">
        <v>411</v>
      </c>
      <c r="D2288" s="509"/>
      <c r="E2288" s="509"/>
      <c r="F2288" s="509"/>
      <c r="G2288" s="509">
        <f>SUM($G$1786)</f>
        <v>3.37</v>
      </c>
      <c r="H2288" s="509">
        <f>SUM($H$1786)</f>
        <v>3.6739999999999999</v>
      </c>
      <c r="I2288" s="509"/>
      <c r="J2288" s="508" t="s">
        <v>1232</v>
      </c>
    </row>
    <row r="2289" spans="1:10" ht="21" customHeight="1">
      <c r="A2289" s="507" t="s">
        <v>1428</v>
      </c>
      <c r="B2289" s="508" t="s">
        <v>665</v>
      </c>
      <c r="C2289" s="508" t="s">
        <v>411</v>
      </c>
      <c r="D2289" s="509"/>
      <c r="E2289" s="509"/>
      <c r="F2289" s="509"/>
      <c r="G2289" s="509">
        <f>SUM($G$2396+$G$2397)</f>
        <v>2.3515000000000003E-3</v>
      </c>
      <c r="H2289" s="509">
        <f>SUM($H$1676+$H$1677)</f>
        <v>1.8370000000000001E-3</v>
      </c>
      <c r="I2289" s="509"/>
      <c r="J2289" s="508" t="s">
        <v>17</v>
      </c>
    </row>
    <row r="2290" spans="1:10" ht="21" customHeight="1">
      <c r="A2290" s="507" t="s">
        <v>1428</v>
      </c>
      <c r="B2290" s="508" t="s">
        <v>565</v>
      </c>
      <c r="C2290" s="508" t="s">
        <v>411</v>
      </c>
      <c r="D2290" s="509"/>
      <c r="E2290" s="509"/>
      <c r="F2290" s="509"/>
      <c r="G2290" s="509">
        <f>SUM($G$2401)</f>
        <v>17324.55096</v>
      </c>
      <c r="H2290" s="509">
        <f>SUM($H$1681)</f>
        <v>14868.606432</v>
      </c>
      <c r="I2290" s="509"/>
      <c r="J2290" s="508" t="s">
        <v>1233</v>
      </c>
    </row>
    <row r="2291" spans="1:10" ht="21" customHeight="1">
      <c r="A2291" s="510" t="s">
        <v>1429</v>
      </c>
      <c r="B2291" s="506"/>
      <c r="C2291" s="506"/>
      <c r="D2291" s="511"/>
      <c r="E2291" s="511"/>
      <c r="F2291" s="511"/>
      <c r="G2291" s="511"/>
      <c r="H2291" s="511"/>
      <c r="I2291" s="512"/>
      <c r="J2291" s="506"/>
    </row>
    <row r="2292" spans="1:10" ht="21" customHeight="1">
      <c r="A2292" s="507" t="s">
        <v>1429</v>
      </c>
      <c r="B2292" s="508" t="s">
        <v>1126</v>
      </c>
      <c r="C2292" s="508" t="s">
        <v>674</v>
      </c>
      <c r="D2292" s="509"/>
      <c r="E2292" s="509"/>
      <c r="F2292" s="509"/>
      <c r="G2292" s="509"/>
      <c r="H2292" s="509"/>
      <c r="I2292" s="509"/>
      <c r="J2292" s="508" t="s">
        <v>308</v>
      </c>
    </row>
    <row r="2293" spans="1:10" ht="21" customHeight="1">
      <c r="A2293" s="507" t="s">
        <v>1429</v>
      </c>
      <c r="B2293" s="508" t="s">
        <v>1127</v>
      </c>
      <c r="C2293" s="508" t="s">
        <v>674</v>
      </c>
      <c r="D2293" s="509"/>
      <c r="E2293" s="509"/>
      <c r="F2293" s="509"/>
      <c r="G2293" s="509"/>
      <c r="H2293" s="509"/>
      <c r="I2293" s="509"/>
      <c r="J2293" s="508" t="s">
        <v>308</v>
      </c>
    </row>
    <row r="2294" spans="1:10" ht="21" customHeight="1">
      <c r="A2294" s="507" t="s">
        <v>1429</v>
      </c>
      <c r="B2294" s="508" t="s">
        <v>934</v>
      </c>
      <c r="C2294" s="508" t="s">
        <v>674</v>
      </c>
      <c r="D2294" s="509"/>
      <c r="E2294" s="509"/>
      <c r="F2294" s="509"/>
      <c r="G2294" s="509"/>
      <c r="H2294" s="509"/>
      <c r="I2294" s="509"/>
      <c r="J2294" s="508" t="s">
        <v>309</v>
      </c>
    </row>
    <row r="2295" spans="1:10" ht="21" customHeight="1">
      <c r="A2295" s="507" t="s">
        <v>1429</v>
      </c>
      <c r="B2295" s="508" t="s">
        <v>935</v>
      </c>
      <c r="C2295" s="508" t="s">
        <v>674</v>
      </c>
      <c r="D2295" s="509"/>
      <c r="E2295" s="509"/>
      <c r="F2295" s="509"/>
      <c r="G2295" s="509"/>
      <c r="H2295" s="509"/>
      <c r="I2295" s="509"/>
      <c r="J2295" s="508" t="s">
        <v>309</v>
      </c>
    </row>
    <row r="2296" spans="1:10" ht="21" customHeight="1">
      <c r="A2296" s="507" t="s">
        <v>1429</v>
      </c>
      <c r="B2296" s="508" t="s">
        <v>946</v>
      </c>
      <c r="C2296" s="508" t="s">
        <v>674</v>
      </c>
      <c r="D2296" s="509"/>
      <c r="E2296" s="509"/>
      <c r="F2296" s="509"/>
      <c r="G2296" s="509"/>
      <c r="H2296" s="509"/>
      <c r="I2296" s="509"/>
      <c r="J2296" s="508" t="s">
        <v>311</v>
      </c>
    </row>
    <row r="2297" spans="1:10" ht="21" customHeight="1">
      <c r="A2297" s="507" t="s">
        <v>1429</v>
      </c>
      <c r="B2297" s="508" t="s">
        <v>947</v>
      </c>
      <c r="C2297" s="508" t="s">
        <v>674</v>
      </c>
      <c r="D2297" s="509"/>
      <c r="E2297" s="509"/>
      <c r="F2297" s="509"/>
      <c r="G2297" s="509"/>
      <c r="H2297" s="509"/>
      <c r="I2297" s="509"/>
      <c r="J2297" s="508" t="s">
        <v>311</v>
      </c>
    </row>
    <row r="2298" spans="1:10" ht="21" customHeight="1">
      <c r="A2298" s="507" t="s">
        <v>1429</v>
      </c>
      <c r="B2298" s="508" t="s">
        <v>960</v>
      </c>
      <c r="C2298" s="508" t="s">
        <v>397</v>
      </c>
      <c r="D2298" s="509"/>
      <c r="E2298" s="509"/>
      <c r="F2298" s="509"/>
      <c r="G2298" s="509">
        <v>47</v>
      </c>
      <c r="H2298" s="509"/>
      <c r="I2298" s="509"/>
      <c r="J2298" s="508" t="s">
        <v>14</v>
      </c>
    </row>
    <row r="2299" spans="1:10" ht="21" customHeight="1">
      <c r="A2299" s="507" t="s">
        <v>1429</v>
      </c>
      <c r="B2299" s="508" t="s">
        <v>961</v>
      </c>
      <c r="C2299" s="508" t="s">
        <v>397</v>
      </c>
      <c r="D2299" s="509"/>
      <c r="E2299" s="509"/>
      <c r="F2299" s="509"/>
      <c r="G2299" s="509">
        <v>96</v>
      </c>
      <c r="H2299" s="509"/>
      <c r="I2299" s="509"/>
      <c r="J2299" s="508" t="s">
        <v>14</v>
      </c>
    </row>
    <row r="2300" spans="1:10" ht="21" customHeight="1">
      <c r="A2300" s="507" t="s">
        <v>1429</v>
      </c>
      <c r="B2300" s="508" t="s">
        <v>974</v>
      </c>
      <c r="C2300" s="508" t="s">
        <v>674</v>
      </c>
      <c r="D2300" s="509"/>
      <c r="E2300" s="509"/>
      <c r="F2300" s="509"/>
      <c r="G2300" s="509"/>
      <c r="H2300" s="509"/>
      <c r="I2300" s="509"/>
      <c r="J2300" s="508" t="s">
        <v>314</v>
      </c>
    </row>
    <row r="2301" spans="1:10" ht="21" customHeight="1">
      <c r="A2301" s="507" t="s">
        <v>1429</v>
      </c>
      <c r="B2301" s="508" t="s">
        <v>975</v>
      </c>
      <c r="C2301" s="508" t="s">
        <v>674</v>
      </c>
      <c r="D2301" s="509"/>
      <c r="E2301" s="509"/>
      <c r="F2301" s="509"/>
      <c r="G2301" s="509"/>
      <c r="H2301" s="509"/>
      <c r="I2301" s="509"/>
      <c r="J2301" s="508" t="s">
        <v>314</v>
      </c>
    </row>
    <row r="2302" spans="1:10" ht="21" customHeight="1">
      <c r="A2302" s="507" t="s">
        <v>1429</v>
      </c>
      <c r="B2302" s="508" t="s">
        <v>989</v>
      </c>
      <c r="C2302" s="508" t="s">
        <v>674</v>
      </c>
      <c r="D2302" s="509"/>
      <c r="E2302" s="509"/>
      <c r="F2302" s="509"/>
      <c r="G2302" s="509"/>
      <c r="H2302" s="509"/>
      <c r="I2302" s="509"/>
      <c r="J2302" s="508" t="s">
        <v>15</v>
      </c>
    </row>
    <row r="2303" spans="1:10" ht="21" customHeight="1">
      <c r="A2303" s="507" t="s">
        <v>1429</v>
      </c>
      <c r="B2303" s="508" t="s">
        <v>990</v>
      </c>
      <c r="C2303" s="508" t="s">
        <v>674</v>
      </c>
      <c r="D2303" s="509"/>
      <c r="E2303" s="509"/>
      <c r="F2303" s="509"/>
      <c r="G2303" s="509"/>
      <c r="H2303" s="509"/>
      <c r="I2303" s="509"/>
      <c r="J2303" s="508" t="s">
        <v>15</v>
      </c>
    </row>
    <row r="2304" spans="1:10" ht="21" customHeight="1">
      <c r="A2304" s="507" t="s">
        <v>1429</v>
      </c>
      <c r="B2304" s="508" t="s">
        <v>1004</v>
      </c>
      <c r="C2304" s="508" t="s">
        <v>674</v>
      </c>
      <c r="D2304" s="509"/>
      <c r="E2304" s="509"/>
      <c r="F2304" s="509"/>
      <c r="G2304" s="509"/>
      <c r="H2304" s="509"/>
      <c r="I2304" s="509"/>
      <c r="J2304" s="508" t="s">
        <v>316</v>
      </c>
    </row>
    <row r="2305" spans="1:10" ht="21" customHeight="1">
      <c r="A2305" s="507" t="s">
        <v>1429</v>
      </c>
      <c r="B2305" s="508" t="s">
        <v>1005</v>
      </c>
      <c r="C2305" s="508" t="s">
        <v>674</v>
      </c>
      <c r="D2305" s="509"/>
      <c r="E2305" s="509"/>
      <c r="F2305" s="509"/>
      <c r="G2305" s="509"/>
      <c r="H2305" s="509"/>
      <c r="I2305" s="509"/>
      <c r="J2305" s="508" t="s">
        <v>316</v>
      </c>
    </row>
    <row r="2306" spans="1:10" ht="21" customHeight="1">
      <c r="A2306" s="507" t="s">
        <v>1429</v>
      </c>
      <c r="B2306" s="508" t="s">
        <v>1019</v>
      </c>
      <c r="C2306" s="508" t="s">
        <v>674</v>
      </c>
      <c r="D2306" s="509"/>
      <c r="E2306" s="509"/>
      <c r="F2306" s="509"/>
      <c r="G2306" s="509"/>
      <c r="H2306" s="509"/>
      <c r="I2306" s="509"/>
      <c r="J2306" s="508"/>
    </row>
    <row r="2307" spans="1:10" ht="21" customHeight="1">
      <c r="A2307" s="507" t="s">
        <v>1429</v>
      </c>
      <c r="B2307" s="508" t="s">
        <v>1020</v>
      </c>
      <c r="C2307" s="508" t="s">
        <v>674</v>
      </c>
      <c r="D2307" s="509"/>
      <c r="E2307" s="509"/>
      <c r="F2307" s="509"/>
      <c r="G2307" s="509"/>
      <c r="H2307" s="509"/>
      <c r="I2307" s="509"/>
      <c r="J2307" s="508"/>
    </row>
    <row r="2308" spans="1:10" ht="21" customHeight="1">
      <c r="A2308" s="507" t="s">
        <v>1429</v>
      </c>
      <c r="B2308" s="508" t="s">
        <v>1035</v>
      </c>
      <c r="C2308" s="508" t="s">
        <v>674</v>
      </c>
      <c r="D2308" s="509"/>
      <c r="E2308" s="509"/>
      <c r="F2308" s="509"/>
      <c r="G2308" s="509"/>
      <c r="H2308" s="509"/>
      <c r="I2308" s="509"/>
      <c r="J2308" s="508"/>
    </row>
    <row r="2309" spans="1:10" ht="21" customHeight="1">
      <c r="A2309" s="507" t="s">
        <v>1429</v>
      </c>
      <c r="B2309" s="508" t="s">
        <v>1036</v>
      </c>
      <c r="C2309" s="508" t="s">
        <v>674</v>
      </c>
      <c r="D2309" s="509"/>
      <c r="E2309" s="509"/>
      <c r="F2309" s="509"/>
      <c r="G2309" s="509"/>
      <c r="H2309" s="509"/>
      <c r="I2309" s="509"/>
      <c r="J2309" s="508"/>
    </row>
    <row r="2310" spans="1:10" ht="21" customHeight="1">
      <c r="A2310" s="507" t="s">
        <v>1429</v>
      </c>
      <c r="B2310" s="508" t="s">
        <v>1046</v>
      </c>
      <c r="C2310" s="508" t="s">
        <v>674</v>
      </c>
      <c r="D2310" s="509"/>
      <c r="E2310" s="509"/>
      <c r="F2310" s="509"/>
      <c r="G2310" s="509"/>
      <c r="H2310" s="509"/>
      <c r="I2310" s="509"/>
      <c r="J2310" s="508" t="s">
        <v>318</v>
      </c>
    </row>
    <row r="2311" spans="1:10" ht="21" customHeight="1">
      <c r="A2311" s="507" t="s">
        <v>1429</v>
      </c>
      <c r="B2311" s="508" t="s">
        <v>1047</v>
      </c>
      <c r="C2311" s="508" t="s">
        <v>674</v>
      </c>
      <c r="D2311" s="509"/>
      <c r="E2311" s="509"/>
      <c r="F2311" s="509"/>
      <c r="G2311" s="509"/>
      <c r="H2311" s="509"/>
      <c r="I2311" s="509"/>
      <c r="J2311" s="508" t="s">
        <v>318</v>
      </c>
    </row>
    <row r="2312" spans="1:10" ht="21" customHeight="1">
      <c r="A2312" s="507" t="s">
        <v>1429</v>
      </c>
      <c r="B2312" s="508" t="s">
        <v>469</v>
      </c>
      <c r="C2312" s="508" t="s">
        <v>411</v>
      </c>
      <c r="D2312" s="509"/>
      <c r="E2312" s="509"/>
      <c r="F2312" s="509"/>
      <c r="G2312" s="509">
        <f>SUM($G$1541)</f>
        <v>501467</v>
      </c>
      <c r="H2312" s="509"/>
      <c r="I2312" s="509"/>
      <c r="J2312" s="508" t="s">
        <v>318</v>
      </c>
    </row>
    <row r="2313" spans="1:10" ht="21" customHeight="1">
      <c r="A2313" s="507" t="s">
        <v>1429</v>
      </c>
      <c r="B2313" s="508" t="s">
        <v>1128</v>
      </c>
      <c r="C2313" s="508" t="s">
        <v>411</v>
      </c>
      <c r="D2313" s="509"/>
      <c r="E2313" s="509"/>
      <c r="F2313" s="509"/>
      <c r="G2313" s="509">
        <f>SUM($G$1542)</f>
        <v>1033173</v>
      </c>
      <c r="H2313" s="509"/>
      <c r="I2313" s="509"/>
      <c r="J2313" s="508" t="s">
        <v>318</v>
      </c>
    </row>
    <row r="2314" spans="1:10" ht="21" customHeight="1">
      <c r="A2314" s="507" t="s">
        <v>1429</v>
      </c>
      <c r="B2314" s="508" t="s">
        <v>1058</v>
      </c>
      <c r="C2314" s="508" t="s">
        <v>674</v>
      </c>
      <c r="D2314" s="509"/>
      <c r="E2314" s="509"/>
      <c r="F2314" s="509"/>
      <c r="G2314" s="509"/>
      <c r="H2314" s="509"/>
      <c r="I2314" s="509"/>
      <c r="J2314" s="508" t="s">
        <v>84</v>
      </c>
    </row>
    <row r="2315" spans="1:10" ht="21" customHeight="1">
      <c r="A2315" s="507" t="s">
        <v>1429</v>
      </c>
      <c r="B2315" s="508" t="s">
        <v>1059</v>
      </c>
      <c r="C2315" s="508" t="s">
        <v>674</v>
      </c>
      <c r="D2315" s="509"/>
      <c r="E2315" s="509"/>
      <c r="F2315" s="509"/>
      <c r="G2315" s="509"/>
      <c r="H2315" s="509"/>
      <c r="I2315" s="509"/>
      <c r="J2315" s="508" t="s">
        <v>84</v>
      </c>
    </row>
    <row r="2316" spans="1:10" ht="21" customHeight="1">
      <c r="A2316" s="507" t="s">
        <v>1429</v>
      </c>
      <c r="B2316" s="508" t="s">
        <v>1070</v>
      </c>
      <c r="C2316" s="508" t="s">
        <v>674</v>
      </c>
      <c r="D2316" s="509"/>
      <c r="E2316" s="509"/>
      <c r="F2316" s="509"/>
      <c r="G2316" s="509"/>
      <c r="H2316" s="509"/>
      <c r="I2316" s="509"/>
      <c r="J2316" s="508" t="s">
        <v>319</v>
      </c>
    </row>
    <row r="2317" spans="1:10" ht="21" customHeight="1">
      <c r="A2317" s="507" t="s">
        <v>1429</v>
      </c>
      <c r="B2317" s="508" t="s">
        <v>1071</v>
      </c>
      <c r="C2317" s="508" t="s">
        <v>674</v>
      </c>
      <c r="D2317" s="509"/>
      <c r="E2317" s="509"/>
      <c r="F2317" s="509"/>
      <c r="G2317" s="509"/>
      <c r="H2317" s="509"/>
      <c r="I2317" s="509"/>
      <c r="J2317" s="508" t="s">
        <v>319</v>
      </c>
    </row>
    <row r="2318" spans="1:10" ht="21" customHeight="1">
      <c r="A2318" s="507" t="s">
        <v>1429</v>
      </c>
      <c r="B2318" s="508" t="s">
        <v>479</v>
      </c>
      <c r="C2318" s="508" t="s">
        <v>411</v>
      </c>
      <c r="D2318" s="509"/>
      <c r="E2318" s="509"/>
      <c r="F2318" s="509"/>
      <c r="G2318" s="509">
        <f>SUM($G$2372)</f>
        <v>33</v>
      </c>
      <c r="H2318" s="509"/>
      <c r="I2318" s="509"/>
      <c r="J2318" s="508" t="s">
        <v>319</v>
      </c>
    </row>
    <row r="2319" spans="1:10" ht="21" customHeight="1">
      <c r="A2319" s="507" t="s">
        <v>1429</v>
      </c>
      <c r="B2319" s="508" t="s">
        <v>1129</v>
      </c>
      <c r="C2319" s="508" t="s">
        <v>411</v>
      </c>
      <c r="D2319" s="509"/>
      <c r="E2319" s="509"/>
      <c r="F2319" s="509"/>
      <c r="G2319" s="509">
        <f>SUM($G$2373)</f>
        <v>72</v>
      </c>
      <c r="H2319" s="509"/>
      <c r="I2319" s="509"/>
      <c r="J2319" s="508" t="s">
        <v>319</v>
      </c>
    </row>
    <row r="2320" spans="1:10" ht="21" customHeight="1">
      <c r="A2320" s="507" t="s">
        <v>1429</v>
      </c>
      <c r="B2320" s="508" t="s">
        <v>1083</v>
      </c>
      <c r="C2320" s="508" t="s">
        <v>411</v>
      </c>
      <c r="D2320" s="509"/>
      <c r="E2320" s="509"/>
      <c r="F2320" s="509"/>
      <c r="G2320" s="509">
        <f>SUM($G$2292,$G$2294,$G$2296,$G$2298,$G$2300,$G$2302,$G$2304,$G$2306,$G$2308,$G$2310,$G$2314,$G$2316)</f>
        <v>47</v>
      </c>
      <c r="H2320" s="509"/>
      <c r="I2320" s="509"/>
      <c r="J2320" s="508" t="s">
        <v>321</v>
      </c>
    </row>
    <row r="2321" spans="1:10" ht="21" customHeight="1">
      <c r="A2321" s="507" t="s">
        <v>1429</v>
      </c>
      <c r="B2321" s="508" t="s">
        <v>1084</v>
      </c>
      <c r="C2321" s="508" t="s">
        <v>411</v>
      </c>
      <c r="D2321" s="509"/>
      <c r="E2321" s="509"/>
      <c r="F2321" s="509"/>
      <c r="G2321" s="509">
        <f>SUM($G$2293,$G$2295,$G$2297,$G$2299,$G$2301,$G$2303,$G$2305,$G$2307,$G$2309,$G$2311,$G$2315,$G$2317)</f>
        <v>96</v>
      </c>
      <c r="H2321" s="509"/>
      <c r="I2321" s="509"/>
      <c r="J2321" s="508" t="s">
        <v>321</v>
      </c>
    </row>
    <row r="2322" spans="1:10" ht="21" customHeight="1">
      <c r="A2322" s="507" t="s">
        <v>1429</v>
      </c>
      <c r="B2322" s="508" t="s">
        <v>484</v>
      </c>
      <c r="C2322" s="508" t="s">
        <v>411</v>
      </c>
      <c r="D2322" s="509"/>
      <c r="E2322" s="509"/>
      <c r="F2322" s="509"/>
      <c r="G2322" s="509">
        <f>SUM($G$2320)</f>
        <v>47</v>
      </c>
      <c r="H2322" s="509"/>
      <c r="I2322" s="509"/>
      <c r="J2322" s="508" t="s">
        <v>321</v>
      </c>
    </row>
    <row r="2323" spans="1:10" ht="21" customHeight="1">
      <c r="A2323" s="507" t="s">
        <v>1429</v>
      </c>
      <c r="B2323" s="508" t="s">
        <v>1130</v>
      </c>
      <c r="C2323" s="508" t="s">
        <v>411</v>
      </c>
      <c r="D2323" s="509"/>
      <c r="E2323" s="509"/>
      <c r="F2323" s="509"/>
      <c r="G2323" s="509">
        <f>SUM($G$2321)</f>
        <v>96</v>
      </c>
      <c r="H2323" s="509"/>
      <c r="I2323" s="509"/>
      <c r="J2323" s="508" t="s">
        <v>321</v>
      </c>
    </row>
    <row r="2324" spans="1:10" ht="21" customHeight="1">
      <c r="A2324" s="507" t="s">
        <v>1429</v>
      </c>
      <c r="B2324" s="508" t="s">
        <v>1131</v>
      </c>
      <c r="C2324" s="508" t="s">
        <v>397</v>
      </c>
      <c r="D2324" s="509"/>
      <c r="E2324" s="509"/>
      <c r="F2324" s="509"/>
      <c r="G2324" s="509">
        <v>51</v>
      </c>
      <c r="H2324" s="509"/>
      <c r="I2324" s="509"/>
      <c r="J2324" s="508"/>
    </row>
    <row r="2325" spans="1:10" ht="21" customHeight="1">
      <c r="A2325" s="507" t="s">
        <v>1429</v>
      </c>
      <c r="B2325" s="508" t="s">
        <v>669</v>
      </c>
      <c r="C2325" s="508" t="s">
        <v>411</v>
      </c>
      <c r="D2325" s="509"/>
      <c r="E2325" s="509"/>
      <c r="F2325" s="509"/>
      <c r="G2325" s="509">
        <f>$G$2318</f>
        <v>33</v>
      </c>
      <c r="H2325" s="509"/>
      <c r="I2325" s="509"/>
      <c r="J2325" s="508"/>
    </row>
    <row r="2326" spans="1:10" ht="21" customHeight="1">
      <c r="A2326" s="507" t="s">
        <v>1429</v>
      </c>
      <c r="B2326" s="508" t="s">
        <v>1132</v>
      </c>
      <c r="C2326" s="508" t="s">
        <v>397</v>
      </c>
      <c r="D2326" s="509"/>
      <c r="E2326" s="509"/>
      <c r="F2326" s="509"/>
      <c r="G2326" s="509">
        <v>51</v>
      </c>
      <c r="H2326" s="509"/>
      <c r="I2326" s="509"/>
      <c r="J2326" s="508"/>
    </row>
    <row r="2327" spans="1:10" ht="21" customHeight="1">
      <c r="A2327" s="507" t="s">
        <v>1429</v>
      </c>
      <c r="B2327" s="508" t="s">
        <v>1133</v>
      </c>
      <c r="C2327" s="508" t="s">
        <v>411</v>
      </c>
      <c r="D2327" s="509"/>
      <c r="E2327" s="509"/>
      <c r="F2327" s="509"/>
      <c r="G2327" s="509">
        <f>$G$2322</f>
        <v>47</v>
      </c>
      <c r="H2327" s="509"/>
      <c r="I2327" s="509"/>
      <c r="J2327" s="508"/>
    </row>
    <row r="2328" spans="1:10" ht="21" customHeight="1">
      <c r="A2328" s="507" t="s">
        <v>1429</v>
      </c>
      <c r="B2328" s="508" t="s">
        <v>1134</v>
      </c>
      <c r="C2328" s="508" t="s">
        <v>397</v>
      </c>
      <c r="D2328" s="509"/>
      <c r="E2328" s="509"/>
      <c r="F2328" s="509"/>
      <c r="G2328" s="509">
        <v>51</v>
      </c>
      <c r="H2328" s="509"/>
      <c r="I2328" s="509"/>
      <c r="J2328" s="508"/>
    </row>
    <row r="2329" spans="1:10" ht="21" customHeight="1">
      <c r="A2329" s="507" t="s">
        <v>1429</v>
      </c>
      <c r="B2329" s="508" t="s">
        <v>1135</v>
      </c>
      <c r="C2329" s="508" t="s">
        <v>411</v>
      </c>
      <c r="D2329" s="509"/>
      <c r="E2329" s="509"/>
      <c r="F2329" s="509"/>
      <c r="G2329" s="509">
        <f>$G$2319</f>
        <v>72</v>
      </c>
      <c r="H2329" s="509"/>
      <c r="I2329" s="509"/>
      <c r="J2329" s="508"/>
    </row>
    <row r="2330" spans="1:10" ht="21" customHeight="1">
      <c r="A2330" s="507" t="s">
        <v>1429</v>
      </c>
      <c r="B2330" s="508" t="s">
        <v>1136</v>
      </c>
      <c r="C2330" s="508" t="s">
        <v>397</v>
      </c>
      <c r="D2330" s="509"/>
      <c r="E2330" s="509"/>
      <c r="F2330" s="509"/>
      <c r="G2330" s="509">
        <v>51</v>
      </c>
      <c r="H2330" s="509"/>
      <c r="I2330" s="509"/>
      <c r="J2330" s="508"/>
    </row>
    <row r="2331" spans="1:10" ht="21" customHeight="1">
      <c r="A2331" s="507" t="s">
        <v>1429</v>
      </c>
      <c r="B2331" s="508" t="s">
        <v>1137</v>
      </c>
      <c r="C2331" s="508" t="s">
        <v>411</v>
      </c>
      <c r="D2331" s="509"/>
      <c r="E2331" s="509"/>
      <c r="F2331" s="509"/>
      <c r="G2331" s="509">
        <f>$G$2323</f>
        <v>96</v>
      </c>
      <c r="H2331" s="509"/>
      <c r="I2331" s="509"/>
      <c r="J2331" s="508"/>
    </row>
    <row r="2332" spans="1:10" ht="21" customHeight="1">
      <c r="A2332" s="507" t="s">
        <v>1429</v>
      </c>
      <c r="B2332" s="508" t="s">
        <v>1138</v>
      </c>
      <c r="C2332" s="508" t="s">
        <v>674</v>
      </c>
      <c r="D2332" s="509"/>
      <c r="E2332" s="509"/>
      <c r="F2332" s="509"/>
      <c r="G2332" s="509"/>
      <c r="H2332" s="509"/>
      <c r="I2332" s="509"/>
      <c r="J2332" s="508"/>
    </row>
    <row r="2333" spans="1:10" ht="21" customHeight="1">
      <c r="A2333" s="507" t="s">
        <v>1429</v>
      </c>
      <c r="B2333" s="508" t="s">
        <v>1139</v>
      </c>
      <c r="C2333" s="508" t="s">
        <v>674</v>
      </c>
      <c r="D2333" s="509"/>
      <c r="E2333" s="509"/>
      <c r="F2333" s="509"/>
      <c r="G2333" s="509"/>
      <c r="H2333" s="509"/>
      <c r="I2333" s="509"/>
      <c r="J2333" s="508"/>
    </row>
    <row r="2334" spans="1:10" ht="21" customHeight="1">
      <c r="A2334" s="507" t="s">
        <v>1429</v>
      </c>
      <c r="B2334" s="508" t="s">
        <v>901</v>
      </c>
      <c r="C2334" s="508" t="s">
        <v>397</v>
      </c>
      <c r="D2334" s="509"/>
      <c r="E2334" s="509"/>
      <c r="F2334" s="509"/>
      <c r="G2334" s="509">
        <v>2000</v>
      </c>
      <c r="H2334" s="509"/>
      <c r="I2334" s="509"/>
      <c r="J2334" s="508"/>
    </row>
    <row r="2335" spans="1:10" ht="21" customHeight="1">
      <c r="A2335" s="507" t="s">
        <v>1429</v>
      </c>
      <c r="B2335" s="508" t="s">
        <v>1140</v>
      </c>
      <c r="C2335" s="508" t="s">
        <v>397</v>
      </c>
      <c r="D2335" s="509"/>
      <c r="E2335" s="509"/>
      <c r="F2335" s="509"/>
      <c r="G2335" s="509">
        <v>2000</v>
      </c>
      <c r="H2335" s="509"/>
      <c r="I2335" s="509"/>
      <c r="J2335" s="508"/>
    </row>
    <row r="2336" spans="1:10" ht="21" customHeight="1">
      <c r="A2336" s="507" t="s">
        <v>1429</v>
      </c>
      <c r="B2336" s="508" t="s">
        <v>1141</v>
      </c>
      <c r="C2336" s="508" t="s">
        <v>674</v>
      </c>
      <c r="D2336" s="509"/>
      <c r="E2336" s="509"/>
      <c r="F2336" s="509"/>
      <c r="G2336" s="509"/>
      <c r="H2336" s="509"/>
      <c r="I2336" s="509"/>
      <c r="J2336" s="508"/>
    </row>
    <row r="2337" spans="1:10" ht="21" customHeight="1">
      <c r="A2337" s="507" t="s">
        <v>1429</v>
      </c>
      <c r="B2337" s="508" t="s">
        <v>1142</v>
      </c>
      <c r="C2337" s="508" t="s">
        <v>674</v>
      </c>
      <c r="D2337" s="509"/>
      <c r="E2337" s="509"/>
      <c r="F2337" s="509"/>
      <c r="G2337" s="509"/>
      <c r="H2337" s="509"/>
      <c r="I2337" s="509"/>
      <c r="J2337" s="508"/>
    </row>
    <row r="2338" spans="1:10" ht="21" customHeight="1">
      <c r="A2338" s="507" t="s">
        <v>1429</v>
      </c>
      <c r="B2338" s="508" t="s">
        <v>1143</v>
      </c>
      <c r="C2338" s="508" t="s">
        <v>674</v>
      </c>
      <c r="D2338" s="509"/>
      <c r="E2338" s="509"/>
      <c r="F2338" s="509"/>
      <c r="G2338" s="509"/>
      <c r="H2338" s="509"/>
      <c r="I2338" s="509"/>
      <c r="J2338" s="508"/>
    </row>
    <row r="2339" spans="1:10" ht="21" customHeight="1">
      <c r="A2339" s="507" t="s">
        <v>1429</v>
      </c>
      <c r="B2339" s="508" t="s">
        <v>1144</v>
      </c>
      <c r="C2339" s="508" t="s">
        <v>674</v>
      </c>
      <c r="D2339" s="509"/>
      <c r="E2339" s="509"/>
      <c r="F2339" s="509"/>
      <c r="G2339" s="509"/>
      <c r="H2339" s="509"/>
      <c r="I2339" s="509"/>
      <c r="J2339" s="508"/>
    </row>
    <row r="2340" spans="1:10" ht="21" customHeight="1">
      <c r="A2340" s="507" t="s">
        <v>1429</v>
      </c>
      <c r="B2340" s="508" t="s">
        <v>493</v>
      </c>
      <c r="C2340" s="508" t="s">
        <v>411</v>
      </c>
      <c r="D2340" s="509"/>
      <c r="E2340" s="509"/>
      <c r="F2340" s="509"/>
      <c r="G2340" s="509">
        <f>(($G$2324*$G$2325)+($G$2326*$G$2327))/$G$2334</f>
        <v>2.04</v>
      </c>
      <c r="H2340" s="509"/>
      <c r="I2340" s="509"/>
      <c r="J2340" s="508"/>
    </row>
    <row r="2341" spans="1:10" ht="21" customHeight="1">
      <c r="A2341" s="507" t="s">
        <v>1429</v>
      </c>
      <c r="B2341" s="508" t="s">
        <v>776</v>
      </c>
      <c r="C2341" s="508" t="s">
        <v>411</v>
      </c>
      <c r="D2341" s="509"/>
      <c r="E2341" s="509"/>
      <c r="F2341" s="509"/>
      <c r="G2341" s="509">
        <f>(($G$2328*$G$2329)+($G$2330*$G$2331))/$G$2335</f>
        <v>4.2839999999999998</v>
      </c>
      <c r="H2341" s="509"/>
      <c r="I2341" s="509"/>
      <c r="J2341" s="508"/>
    </row>
    <row r="2342" spans="1:10" ht="21" customHeight="1">
      <c r="A2342" s="507" t="s">
        <v>1429</v>
      </c>
      <c r="B2342" s="508" t="s">
        <v>1145</v>
      </c>
      <c r="C2342" s="508" t="s">
        <v>397</v>
      </c>
      <c r="D2342" s="509"/>
      <c r="E2342" s="509"/>
      <c r="F2342" s="509"/>
      <c r="G2342" s="509">
        <v>33</v>
      </c>
      <c r="H2342" s="509"/>
      <c r="I2342" s="509"/>
      <c r="J2342" s="508"/>
    </row>
    <row r="2343" spans="1:10" ht="21" customHeight="1">
      <c r="A2343" s="507" t="s">
        <v>1429</v>
      </c>
      <c r="B2343" s="508" t="s">
        <v>1146</v>
      </c>
      <c r="C2343" s="508" t="s">
        <v>397</v>
      </c>
      <c r="D2343" s="509"/>
      <c r="E2343" s="509"/>
      <c r="F2343" s="509"/>
      <c r="G2343" s="509">
        <v>72</v>
      </c>
      <c r="H2343" s="509"/>
      <c r="I2343" s="509"/>
      <c r="J2343" s="508"/>
    </row>
    <row r="2344" spans="1:10" ht="21" customHeight="1">
      <c r="A2344" s="507" t="s">
        <v>1429</v>
      </c>
      <c r="B2344" s="508" t="s">
        <v>1147</v>
      </c>
      <c r="C2344" s="508" t="s">
        <v>674</v>
      </c>
      <c r="D2344" s="509"/>
      <c r="E2344" s="509"/>
      <c r="F2344" s="509"/>
      <c r="G2344" s="509"/>
      <c r="H2344" s="509"/>
      <c r="I2344" s="509"/>
      <c r="J2344" s="508"/>
    </row>
    <row r="2345" spans="1:10" ht="21" customHeight="1">
      <c r="A2345" s="507" t="s">
        <v>1429</v>
      </c>
      <c r="B2345" s="508" t="s">
        <v>1148</v>
      </c>
      <c r="C2345" s="508" t="s">
        <v>674</v>
      </c>
      <c r="D2345" s="509"/>
      <c r="E2345" s="509"/>
      <c r="F2345" s="509"/>
      <c r="G2345" s="509"/>
      <c r="H2345" s="509"/>
      <c r="I2345" s="509"/>
      <c r="J2345" s="508"/>
    </row>
    <row r="2346" spans="1:10" ht="21" customHeight="1">
      <c r="A2346" s="507" t="s">
        <v>1429</v>
      </c>
      <c r="B2346" s="508" t="s">
        <v>1149</v>
      </c>
      <c r="C2346" s="508" t="s">
        <v>674</v>
      </c>
      <c r="D2346" s="509"/>
      <c r="E2346" s="509"/>
      <c r="F2346" s="509"/>
      <c r="G2346" s="509"/>
      <c r="H2346" s="509"/>
      <c r="I2346" s="509"/>
      <c r="J2346" s="508" t="s">
        <v>93</v>
      </c>
    </row>
    <row r="2347" spans="1:10" ht="21" customHeight="1">
      <c r="A2347" s="507" t="s">
        <v>1429</v>
      </c>
      <c r="B2347" s="508" t="s">
        <v>1150</v>
      </c>
      <c r="C2347" s="508" t="s">
        <v>674</v>
      </c>
      <c r="D2347" s="509"/>
      <c r="E2347" s="509"/>
      <c r="F2347" s="509"/>
      <c r="G2347" s="509"/>
      <c r="H2347" s="509"/>
      <c r="I2347" s="509"/>
      <c r="J2347" s="508" t="s">
        <v>93</v>
      </c>
    </row>
    <row r="2348" spans="1:10" ht="21" customHeight="1">
      <c r="A2348" s="507" t="s">
        <v>1429</v>
      </c>
      <c r="B2348" s="508" t="s">
        <v>1151</v>
      </c>
      <c r="C2348" s="508" t="s">
        <v>674</v>
      </c>
      <c r="D2348" s="509"/>
      <c r="E2348" s="509"/>
      <c r="F2348" s="509"/>
      <c r="G2348" s="509"/>
      <c r="H2348" s="509"/>
      <c r="I2348" s="509"/>
      <c r="J2348" s="508"/>
    </row>
    <row r="2349" spans="1:10" ht="21" customHeight="1">
      <c r="A2349" s="507" t="s">
        <v>1429</v>
      </c>
      <c r="B2349" s="508" t="s">
        <v>1152</v>
      </c>
      <c r="C2349" s="508" t="s">
        <v>674</v>
      </c>
      <c r="D2349" s="509"/>
      <c r="E2349" s="509"/>
      <c r="F2349" s="509"/>
      <c r="G2349" s="509"/>
      <c r="H2349" s="509"/>
      <c r="I2349" s="509"/>
      <c r="J2349" s="508"/>
    </row>
    <row r="2350" spans="1:10" ht="21" customHeight="1">
      <c r="A2350" s="507" t="s">
        <v>1429</v>
      </c>
      <c r="B2350" s="508" t="s">
        <v>1153</v>
      </c>
      <c r="C2350" s="508" t="s">
        <v>674</v>
      </c>
      <c r="D2350" s="509"/>
      <c r="E2350" s="509"/>
      <c r="F2350" s="509"/>
      <c r="G2350" s="509"/>
      <c r="H2350" s="509"/>
      <c r="I2350" s="509"/>
      <c r="J2350" s="508"/>
    </row>
    <row r="2351" spans="1:10" ht="21" customHeight="1">
      <c r="A2351" s="507" t="s">
        <v>1429</v>
      </c>
      <c r="B2351" s="508" t="s">
        <v>1154</v>
      </c>
      <c r="C2351" s="508" t="s">
        <v>674</v>
      </c>
      <c r="D2351" s="509"/>
      <c r="E2351" s="509"/>
      <c r="F2351" s="509"/>
      <c r="G2351" s="509"/>
      <c r="H2351" s="509"/>
      <c r="I2351" s="509"/>
      <c r="J2351" s="508"/>
    </row>
    <row r="2352" spans="1:10" ht="21" customHeight="1">
      <c r="A2352" s="507" t="s">
        <v>1429</v>
      </c>
      <c r="B2352" s="508" t="s">
        <v>513</v>
      </c>
      <c r="C2352" s="508" t="s">
        <v>397</v>
      </c>
      <c r="D2352" s="509"/>
      <c r="E2352" s="509"/>
      <c r="F2352" s="509"/>
      <c r="G2352" s="509">
        <v>137</v>
      </c>
      <c r="H2352" s="509"/>
      <c r="I2352" s="509"/>
      <c r="J2352" s="508"/>
    </row>
    <row r="2353" spans="1:10" ht="21" customHeight="1">
      <c r="A2353" s="507" t="s">
        <v>1429</v>
      </c>
      <c r="B2353" s="508" t="s">
        <v>515</v>
      </c>
      <c r="C2353" s="508" t="s">
        <v>411</v>
      </c>
      <c r="D2353" s="509"/>
      <c r="E2353" s="509"/>
      <c r="F2353" s="509"/>
      <c r="G2353" s="509">
        <f>$G$2318</f>
        <v>33</v>
      </c>
      <c r="H2353" s="509"/>
      <c r="I2353" s="509"/>
      <c r="J2353" s="508"/>
    </row>
    <row r="2354" spans="1:10" ht="21" customHeight="1">
      <c r="A2354" s="507" t="s">
        <v>1429</v>
      </c>
      <c r="B2354" s="508" t="s">
        <v>833</v>
      </c>
      <c r="C2354" s="508" t="s">
        <v>397</v>
      </c>
      <c r="D2354" s="509"/>
      <c r="E2354" s="509"/>
      <c r="F2354" s="509"/>
      <c r="G2354" s="509">
        <v>137</v>
      </c>
      <c r="H2354" s="509"/>
      <c r="I2354" s="509"/>
      <c r="J2354" s="508"/>
    </row>
    <row r="2355" spans="1:10" ht="21" customHeight="1">
      <c r="A2355" s="507" t="s">
        <v>1429</v>
      </c>
      <c r="B2355" s="508" t="s">
        <v>1155</v>
      </c>
      <c r="C2355" s="508" t="s">
        <v>411</v>
      </c>
      <c r="D2355" s="509"/>
      <c r="E2355" s="509"/>
      <c r="F2355" s="509"/>
      <c r="G2355" s="509">
        <f>$G$2322</f>
        <v>47</v>
      </c>
      <c r="H2355" s="509"/>
      <c r="I2355" s="509"/>
      <c r="J2355" s="508"/>
    </row>
    <row r="2356" spans="1:10" ht="21" customHeight="1">
      <c r="A2356" s="507" t="s">
        <v>1429</v>
      </c>
      <c r="B2356" s="508" t="s">
        <v>1156</v>
      </c>
      <c r="C2356" s="508" t="s">
        <v>397</v>
      </c>
      <c r="D2356" s="509"/>
      <c r="E2356" s="509"/>
      <c r="F2356" s="509"/>
      <c r="G2356" s="509">
        <v>137</v>
      </c>
      <c r="H2356" s="509"/>
      <c r="I2356" s="509"/>
      <c r="J2356" s="508"/>
    </row>
    <row r="2357" spans="1:10" ht="21" customHeight="1">
      <c r="A2357" s="507" t="s">
        <v>1429</v>
      </c>
      <c r="B2357" s="508" t="s">
        <v>1157</v>
      </c>
      <c r="C2357" s="508" t="s">
        <v>411</v>
      </c>
      <c r="D2357" s="509"/>
      <c r="E2357" s="509"/>
      <c r="F2357" s="509"/>
      <c r="G2357" s="509">
        <f>$G$2319</f>
        <v>72</v>
      </c>
      <c r="H2357" s="509"/>
      <c r="I2357" s="509"/>
      <c r="J2357" s="508"/>
    </row>
    <row r="2358" spans="1:10" ht="21" customHeight="1">
      <c r="A2358" s="507" t="s">
        <v>1429</v>
      </c>
      <c r="B2358" s="508" t="s">
        <v>834</v>
      </c>
      <c r="C2358" s="508" t="s">
        <v>397</v>
      </c>
      <c r="D2358" s="509"/>
      <c r="E2358" s="509"/>
      <c r="F2358" s="509"/>
      <c r="G2358" s="509">
        <v>137</v>
      </c>
      <c r="H2358" s="509"/>
      <c r="I2358" s="509"/>
      <c r="J2358" s="508"/>
    </row>
    <row r="2359" spans="1:10" ht="21" customHeight="1">
      <c r="A2359" s="507" t="s">
        <v>1429</v>
      </c>
      <c r="B2359" s="508" t="s">
        <v>1158</v>
      </c>
      <c r="C2359" s="508" t="s">
        <v>411</v>
      </c>
      <c r="D2359" s="509"/>
      <c r="E2359" s="509"/>
      <c r="F2359" s="509"/>
      <c r="G2359" s="509">
        <f>$G$2323</f>
        <v>96</v>
      </c>
      <c r="H2359" s="509"/>
      <c r="I2359" s="509"/>
      <c r="J2359" s="508"/>
    </row>
    <row r="2360" spans="1:10" ht="21" customHeight="1">
      <c r="A2360" s="507" t="s">
        <v>1429</v>
      </c>
      <c r="B2360" s="508" t="s">
        <v>1159</v>
      </c>
      <c r="C2360" s="508" t="s">
        <v>674</v>
      </c>
      <c r="D2360" s="509"/>
      <c r="E2360" s="509"/>
      <c r="F2360" s="509"/>
      <c r="G2360" s="509"/>
      <c r="H2360" s="509"/>
      <c r="I2360" s="509"/>
      <c r="J2360" s="508"/>
    </row>
    <row r="2361" spans="1:10" ht="21" customHeight="1">
      <c r="A2361" s="507" t="s">
        <v>1429</v>
      </c>
      <c r="B2361" s="508" t="s">
        <v>1160</v>
      </c>
      <c r="C2361" s="508" t="s">
        <v>674</v>
      </c>
      <c r="D2361" s="509"/>
      <c r="E2361" s="509"/>
      <c r="F2361" s="509"/>
      <c r="G2361" s="509"/>
      <c r="H2361" s="509"/>
      <c r="I2361" s="509"/>
      <c r="J2361" s="508"/>
    </row>
    <row r="2362" spans="1:10" ht="21" customHeight="1">
      <c r="A2362" s="507" t="s">
        <v>1429</v>
      </c>
      <c r="B2362" s="508" t="s">
        <v>1111</v>
      </c>
      <c r="C2362" s="508" t="s">
        <v>397</v>
      </c>
      <c r="D2362" s="509"/>
      <c r="E2362" s="509"/>
      <c r="F2362" s="509"/>
      <c r="G2362" s="509">
        <v>2000</v>
      </c>
      <c r="H2362" s="509"/>
      <c r="I2362" s="509"/>
      <c r="J2362" s="508"/>
    </row>
    <row r="2363" spans="1:10" ht="21" customHeight="1">
      <c r="A2363" s="507" t="s">
        <v>1429</v>
      </c>
      <c r="B2363" s="508" t="s">
        <v>1161</v>
      </c>
      <c r="C2363" s="508" t="s">
        <v>397</v>
      </c>
      <c r="D2363" s="509"/>
      <c r="E2363" s="509"/>
      <c r="F2363" s="509"/>
      <c r="G2363" s="509">
        <v>2000</v>
      </c>
      <c r="H2363" s="509"/>
      <c r="I2363" s="509"/>
      <c r="J2363" s="508"/>
    </row>
    <row r="2364" spans="1:10" ht="21" customHeight="1">
      <c r="A2364" s="507" t="s">
        <v>1429</v>
      </c>
      <c r="B2364" s="508" t="s">
        <v>1162</v>
      </c>
      <c r="C2364" s="508" t="s">
        <v>674</v>
      </c>
      <c r="D2364" s="509"/>
      <c r="E2364" s="509"/>
      <c r="F2364" s="509"/>
      <c r="G2364" s="509"/>
      <c r="H2364" s="509"/>
      <c r="I2364" s="509"/>
      <c r="J2364" s="508"/>
    </row>
    <row r="2365" spans="1:10" ht="21" customHeight="1">
      <c r="A2365" s="507" t="s">
        <v>1429</v>
      </c>
      <c r="B2365" s="508" t="s">
        <v>1163</v>
      </c>
      <c r="C2365" s="508" t="s">
        <v>674</v>
      </c>
      <c r="D2365" s="509"/>
      <c r="E2365" s="509"/>
      <c r="F2365" s="509"/>
      <c r="G2365" s="509"/>
      <c r="H2365" s="509"/>
      <c r="I2365" s="509"/>
      <c r="J2365" s="508"/>
    </row>
    <row r="2366" spans="1:10" ht="21" customHeight="1">
      <c r="A2366" s="507" t="s">
        <v>1429</v>
      </c>
      <c r="B2366" s="508" t="s">
        <v>1164</v>
      </c>
      <c r="C2366" s="508" t="s">
        <v>674</v>
      </c>
      <c r="D2366" s="509"/>
      <c r="E2366" s="509"/>
      <c r="F2366" s="509"/>
      <c r="G2366" s="509"/>
      <c r="H2366" s="509"/>
      <c r="I2366" s="509"/>
      <c r="J2366" s="508"/>
    </row>
    <row r="2367" spans="1:10" ht="21" customHeight="1">
      <c r="A2367" s="507" t="s">
        <v>1429</v>
      </c>
      <c r="B2367" s="508" t="s">
        <v>1165</v>
      </c>
      <c r="C2367" s="508" t="s">
        <v>674</v>
      </c>
      <c r="D2367" s="509"/>
      <c r="E2367" s="509"/>
      <c r="F2367" s="509"/>
      <c r="G2367" s="509"/>
      <c r="H2367" s="509"/>
      <c r="I2367" s="509"/>
      <c r="J2367" s="508"/>
    </row>
    <row r="2368" spans="1:10" ht="21" customHeight="1">
      <c r="A2368" s="507" t="s">
        <v>1429</v>
      </c>
      <c r="B2368" s="508" t="s">
        <v>609</v>
      </c>
      <c r="C2368" s="508" t="s">
        <v>411</v>
      </c>
      <c r="D2368" s="509"/>
      <c r="E2368" s="509"/>
      <c r="F2368" s="509"/>
      <c r="G2368" s="509">
        <f>(($G$2352*$G$2353)+($G$2354*$G$2355))/$G$2362</f>
        <v>5.48</v>
      </c>
      <c r="H2368" s="509"/>
      <c r="I2368" s="509"/>
      <c r="J2368" s="508"/>
    </row>
    <row r="2369" spans="1:10" ht="21" customHeight="1">
      <c r="A2369" s="507" t="s">
        <v>1429</v>
      </c>
      <c r="B2369" s="508" t="s">
        <v>612</v>
      </c>
      <c r="C2369" s="508" t="s">
        <v>411</v>
      </c>
      <c r="D2369" s="509"/>
      <c r="E2369" s="509"/>
      <c r="F2369" s="509"/>
      <c r="G2369" s="509">
        <f>(($G$2356*$G$2357)+($G$2358*$G$2359))/$G$2363</f>
        <v>11.507999999999999</v>
      </c>
      <c r="H2369" s="509"/>
      <c r="I2369" s="509"/>
      <c r="J2369" s="508"/>
    </row>
    <row r="2370" spans="1:10" ht="21" customHeight="1">
      <c r="A2370" s="507" t="s">
        <v>1429</v>
      </c>
      <c r="B2370" s="508" t="s">
        <v>1166</v>
      </c>
      <c r="C2370" s="508" t="s">
        <v>674</v>
      </c>
      <c r="D2370" s="509"/>
      <c r="E2370" s="509"/>
      <c r="F2370" s="509"/>
      <c r="G2370" s="509"/>
      <c r="H2370" s="509"/>
      <c r="I2370" s="509"/>
      <c r="J2370" s="508"/>
    </row>
    <row r="2371" spans="1:10" ht="21" customHeight="1">
      <c r="A2371" s="507" t="s">
        <v>1429</v>
      </c>
      <c r="B2371" s="508" t="s">
        <v>1167</v>
      </c>
      <c r="C2371" s="508" t="s">
        <v>674</v>
      </c>
      <c r="D2371" s="509"/>
      <c r="E2371" s="509"/>
      <c r="F2371" s="509"/>
      <c r="G2371" s="509"/>
      <c r="H2371" s="509"/>
      <c r="I2371" s="509"/>
      <c r="J2371" s="508"/>
    </row>
    <row r="2372" spans="1:10" ht="21" customHeight="1">
      <c r="A2372" s="507" t="s">
        <v>1429</v>
      </c>
      <c r="B2372" s="508" t="s">
        <v>1168</v>
      </c>
      <c r="C2372" s="508" t="s">
        <v>411</v>
      </c>
      <c r="D2372" s="509"/>
      <c r="E2372" s="509"/>
      <c r="F2372" s="509"/>
      <c r="G2372" s="509">
        <f>SUM($G$2332,$G$2336,$G$2338,$G$2342,$G$2344,$G$2346,$G$2348,$G$2350,$G$2360,$G$2364,$G$2366,$G$2370)</f>
        <v>33</v>
      </c>
      <c r="H2372" s="509"/>
      <c r="I2372" s="509"/>
      <c r="J2372" s="508"/>
    </row>
    <row r="2373" spans="1:10" ht="21" customHeight="1">
      <c r="A2373" s="507" t="s">
        <v>1429</v>
      </c>
      <c r="B2373" s="508" t="s">
        <v>1169</v>
      </c>
      <c r="C2373" s="508" t="s">
        <v>411</v>
      </c>
      <c r="D2373" s="509"/>
      <c r="E2373" s="509"/>
      <c r="F2373" s="509"/>
      <c r="G2373" s="509">
        <f>SUM($G$2333,$G$2337,$G$2339,$G$2343,$G$2345,$G$2347,$G$2349,$G$2351,$G$2361,$G$2365,$G$2367,$G$2371)</f>
        <v>72</v>
      </c>
      <c r="H2373" s="509"/>
      <c r="I2373" s="509"/>
      <c r="J2373" s="508"/>
    </row>
    <row r="2374" spans="1:10" ht="21" customHeight="1">
      <c r="A2374" s="507" t="s">
        <v>1429</v>
      </c>
      <c r="B2374" s="508" t="s">
        <v>517</v>
      </c>
      <c r="C2374" s="508" t="s">
        <v>397</v>
      </c>
      <c r="D2374" s="509"/>
      <c r="E2374" s="509"/>
      <c r="F2374" s="509"/>
      <c r="G2374" s="509">
        <v>13</v>
      </c>
      <c r="H2374" s="509"/>
      <c r="I2374" s="509"/>
      <c r="J2374" s="508"/>
    </row>
    <row r="2375" spans="1:10" ht="21" customHeight="1">
      <c r="A2375" s="507" t="s">
        <v>1429</v>
      </c>
      <c r="B2375" s="508" t="s">
        <v>815</v>
      </c>
      <c r="C2375" s="508" t="s">
        <v>411</v>
      </c>
      <c r="D2375" s="509"/>
      <c r="E2375" s="509"/>
      <c r="F2375" s="509"/>
      <c r="G2375" s="509">
        <f>$G$2318</f>
        <v>33</v>
      </c>
      <c r="H2375" s="509"/>
      <c r="I2375" s="509"/>
      <c r="J2375" s="508"/>
    </row>
    <row r="2376" spans="1:10" ht="21" customHeight="1">
      <c r="A2376" s="507" t="s">
        <v>1429</v>
      </c>
      <c r="B2376" s="508" t="s">
        <v>870</v>
      </c>
      <c r="C2376" s="508" t="s">
        <v>397</v>
      </c>
      <c r="D2376" s="509"/>
      <c r="E2376" s="509"/>
      <c r="F2376" s="509"/>
      <c r="G2376" s="509">
        <v>11</v>
      </c>
      <c r="H2376" s="509"/>
      <c r="I2376" s="509"/>
      <c r="J2376" s="508"/>
    </row>
    <row r="2377" spans="1:10" ht="21" customHeight="1">
      <c r="A2377" s="507" t="s">
        <v>1429</v>
      </c>
      <c r="B2377" s="508" t="s">
        <v>872</v>
      </c>
      <c r="C2377" s="508" t="s">
        <v>411</v>
      </c>
      <c r="D2377" s="509"/>
      <c r="E2377" s="509"/>
      <c r="F2377" s="509"/>
      <c r="G2377" s="509">
        <f>$G$2322</f>
        <v>47</v>
      </c>
      <c r="H2377" s="509"/>
      <c r="I2377" s="509"/>
      <c r="J2377" s="508"/>
    </row>
    <row r="2378" spans="1:10" ht="21" customHeight="1">
      <c r="A2378" s="507" t="s">
        <v>1429</v>
      </c>
      <c r="B2378" s="508" t="s">
        <v>1170</v>
      </c>
      <c r="C2378" s="508" t="s">
        <v>397</v>
      </c>
      <c r="D2378" s="509"/>
      <c r="E2378" s="509"/>
      <c r="F2378" s="509"/>
      <c r="G2378" s="509">
        <v>13</v>
      </c>
      <c r="H2378" s="509"/>
      <c r="I2378" s="509"/>
      <c r="J2378" s="508"/>
    </row>
    <row r="2379" spans="1:10" ht="21" customHeight="1">
      <c r="A2379" s="507" t="s">
        <v>1429</v>
      </c>
      <c r="B2379" s="508" t="s">
        <v>1171</v>
      </c>
      <c r="C2379" s="508" t="s">
        <v>411</v>
      </c>
      <c r="D2379" s="509"/>
      <c r="E2379" s="509"/>
      <c r="F2379" s="509"/>
      <c r="G2379" s="509">
        <f>$G$2319</f>
        <v>72</v>
      </c>
      <c r="H2379" s="509"/>
      <c r="I2379" s="509"/>
      <c r="J2379" s="508"/>
    </row>
    <row r="2380" spans="1:10" ht="21" customHeight="1">
      <c r="A2380" s="507" t="s">
        <v>1429</v>
      </c>
      <c r="B2380" s="508" t="s">
        <v>1172</v>
      </c>
      <c r="C2380" s="508" t="s">
        <v>397</v>
      </c>
      <c r="D2380" s="509"/>
      <c r="E2380" s="509"/>
      <c r="F2380" s="509"/>
      <c r="G2380" s="509">
        <v>11</v>
      </c>
      <c r="H2380" s="509"/>
      <c r="I2380" s="509"/>
      <c r="J2380" s="508"/>
    </row>
    <row r="2381" spans="1:10" ht="21" customHeight="1">
      <c r="A2381" s="507" t="s">
        <v>1429</v>
      </c>
      <c r="B2381" s="508" t="s">
        <v>1173</v>
      </c>
      <c r="C2381" s="508" t="s">
        <v>411</v>
      </c>
      <c r="D2381" s="509"/>
      <c r="E2381" s="509"/>
      <c r="F2381" s="509"/>
      <c r="G2381" s="509">
        <f>$G$2323</f>
        <v>96</v>
      </c>
      <c r="H2381" s="509"/>
      <c r="I2381" s="509"/>
      <c r="J2381" s="508"/>
    </row>
    <row r="2382" spans="1:10" ht="21" customHeight="1">
      <c r="A2382" s="507" t="s">
        <v>1429</v>
      </c>
      <c r="B2382" s="508" t="s">
        <v>1174</v>
      </c>
      <c r="C2382" s="508" t="s">
        <v>397</v>
      </c>
      <c r="D2382" s="509"/>
      <c r="E2382" s="509"/>
      <c r="F2382" s="509"/>
      <c r="G2382" s="509">
        <v>2000</v>
      </c>
      <c r="H2382" s="509"/>
      <c r="I2382" s="509"/>
      <c r="J2382" s="508"/>
    </row>
    <row r="2383" spans="1:10" ht="21" customHeight="1">
      <c r="A2383" s="507" t="s">
        <v>1429</v>
      </c>
      <c r="B2383" s="508" t="s">
        <v>1175</v>
      </c>
      <c r="C2383" s="508" t="s">
        <v>397</v>
      </c>
      <c r="D2383" s="509"/>
      <c r="E2383" s="509"/>
      <c r="F2383" s="509"/>
      <c r="G2383" s="509">
        <v>2000</v>
      </c>
      <c r="H2383" s="509"/>
      <c r="I2383" s="509"/>
      <c r="J2383" s="508"/>
    </row>
    <row r="2384" spans="1:10" ht="21" customHeight="1">
      <c r="A2384" s="507" t="s">
        <v>1429</v>
      </c>
      <c r="B2384" s="508" t="s">
        <v>523</v>
      </c>
      <c r="C2384" s="508" t="s">
        <v>411</v>
      </c>
      <c r="D2384" s="509"/>
      <c r="E2384" s="509"/>
      <c r="F2384" s="509"/>
      <c r="G2384" s="509">
        <f>(($G$2374*$G$2375)+($G$2376*$G$2377))/$G$2382</f>
        <v>0.47299999999999998</v>
      </c>
      <c r="H2384" s="509"/>
      <c r="I2384" s="509"/>
      <c r="J2384" s="508"/>
    </row>
    <row r="2385" spans="1:10" ht="21" customHeight="1">
      <c r="A2385" s="507" t="s">
        <v>1429</v>
      </c>
      <c r="B2385" s="508" t="s">
        <v>1176</v>
      </c>
      <c r="C2385" s="508" t="s">
        <v>411</v>
      </c>
      <c r="D2385" s="509"/>
      <c r="E2385" s="509"/>
      <c r="F2385" s="509"/>
      <c r="G2385" s="509">
        <f>(($G$2378*$G$2379)+($G$2380*$G$2381))/$G$2383</f>
        <v>0.996</v>
      </c>
      <c r="H2385" s="509"/>
      <c r="I2385" s="509"/>
      <c r="J2385" s="508"/>
    </row>
    <row r="2386" spans="1:10" ht="21" customHeight="1">
      <c r="A2386" s="507" t="s">
        <v>1429</v>
      </c>
      <c r="B2386" s="508" t="s">
        <v>628</v>
      </c>
      <c r="C2386" s="508" t="s">
        <v>397</v>
      </c>
      <c r="D2386" s="509"/>
      <c r="E2386" s="509"/>
      <c r="F2386" s="509"/>
      <c r="G2386" s="509">
        <v>2.3E-2</v>
      </c>
      <c r="H2386" s="509"/>
      <c r="I2386" s="509"/>
      <c r="J2386" s="508"/>
    </row>
    <row r="2387" spans="1:10" ht="21" customHeight="1">
      <c r="A2387" s="507" t="s">
        <v>1429</v>
      </c>
      <c r="B2387" s="508" t="s">
        <v>1177</v>
      </c>
      <c r="C2387" s="508" t="s">
        <v>411</v>
      </c>
      <c r="D2387" s="509"/>
      <c r="E2387" s="509"/>
      <c r="F2387" s="509"/>
      <c r="G2387" s="509">
        <f>$G$2318</f>
        <v>33</v>
      </c>
      <c r="H2387" s="509"/>
      <c r="I2387" s="509"/>
      <c r="J2387" s="508"/>
    </row>
    <row r="2388" spans="1:10" ht="21" customHeight="1">
      <c r="A2388" s="507" t="s">
        <v>1429</v>
      </c>
      <c r="B2388" s="508" t="s">
        <v>1178</v>
      </c>
      <c r="C2388" s="508" t="s">
        <v>397</v>
      </c>
      <c r="D2388" s="509"/>
      <c r="E2388" s="509"/>
      <c r="F2388" s="509"/>
      <c r="G2388" s="509">
        <v>1.6E-2</v>
      </c>
      <c r="H2388" s="509"/>
      <c r="I2388" s="509"/>
      <c r="J2388" s="508"/>
    </row>
    <row r="2389" spans="1:10" ht="21" customHeight="1">
      <c r="A2389" s="507" t="s">
        <v>1429</v>
      </c>
      <c r="B2389" s="508" t="s">
        <v>630</v>
      </c>
      <c r="C2389" s="508" t="s">
        <v>411</v>
      </c>
      <c r="D2389" s="509"/>
      <c r="E2389" s="509"/>
      <c r="F2389" s="509"/>
      <c r="G2389" s="509">
        <f>$G$2322</f>
        <v>47</v>
      </c>
      <c r="H2389" s="509"/>
      <c r="I2389" s="509"/>
      <c r="J2389" s="508"/>
    </row>
    <row r="2390" spans="1:10" ht="21" customHeight="1">
      <c r="A2390" s="507" t="s">
        <v>1429</v>
      </c>
      <c r="B2390" s="508" t="s">
        <v>631</v>
      </c>
      <c r="C2390" s="508" t="s">
        <v>397</v>
      </c>
      <c r="D2390" s="509"/>
      <c r="E2390" s="509"/>
      <c r="F2390" s="509"/>
      <c r="G2390" s="509">
        <v>2.3E-2</v>
      </c>
      <c r="H2390" s="509"/>
      <c r="I2390" s="509"/>
      <c r="J2390" s="508"/>
    </row>
    <row r="2391" spans="1:10" ht="21" customHeight="1">
      <c r="A2391" s="507" t="s">
        <v>1429</v>
      </c>
      <c r="B2391" s="508" t="s">
        <v>632</v>
      </c>
      <c r="C2391" s="508" t="s">
        <v>411</v>
      </c>
      <c r="D2391" s="509"/>
      <c r="E2391" s="509"/>
      <c r="F2391" s="509"/>
      <c r="G2391" s="509">
        <f>$G$2319</f>
        <v>72</v>
      </c>
      <c r="H2391" s="509"/>
      <c r="I2391" s="509"/>
      <c r="J2391" s="508"/>
    </row>
    <row r="2392" spans="1:10" ht="21" customHeight="1">
      <c r="A2392" s="507" t="s">
        <v>1429</v>
      </c>
      <c r="B2392" s="508" t="s">
        <v>1179</v>
      </c>
      <c r="C2392" s="508" t="s">
        <v>397</v>
      </c>
      <c r="D2392" s="509"/>
      <c r="E2392" s="509"/>
      <c r="F2392" s="509"/>
      <c r="G2392" s="509">
        <v>1.6E-2</v>
      </c>
      <c r="H2392" s="509"/>
      <c r="I2392" s="509"/>
      <c r="J2392" s="508"/>
    </row>
    <row r="2393" spans="1:10" ht="21" customHeight="1">
      <c r="A2393" s="507" t="s">
        <v>1429</v>
      </c>
      <c r="B2393" s="508" t="s">
        <v>1180</v>
      </c>
      <c r="C2393" s="508" t="s">
        <v>411</v>
      </c>
      <c r="D2393" s="509"/>
      <c r="E2393" s="509"/>
      <c r="F2393" s="509"/>
      <c r="G2393" s="509">
        <f>$G$2323</f>
        <v>96</v>
      </c>
      <c r="H2393" s="509"/>
      <c r="I2393" s="509"/>
      <c r="J2393" s="508"/>
    </row>
    <row r="2394" spans="1:10" ht="21" customHeight="1">
      <c r="A2394" s="507" t="s">
        <v>1429</v>
      </c>
      <c r="B2394" s="508" t="s">
        <v>1181</v>
      </c>
      <c r="C2394" s="508" t="s">
        <v>397</v>
      </c>
      <c r="D2394" s="509"/>
      <c r="E2394" s="509"/>
      <c r="F2394" s="509"/>
      <c r="G2394" s="509">
        <v>2000</v>
      </c>
      <c r="H2394" s="509"/>
      <c r="I2394" s="509"/>
      <c r="J2394" s="508"/>
    </row>
    <row r="2395" spans="1:10" ht="21" customHeight="1">
      <c r="A2395" s="507" t="s">
        <v>1429</v>
      </c>
      <c r="B2395" s="508" t="s">
        <v>1182</v>
      </c>
      <c r="C2395" s="508" t="s">
        <v>397</v>
      </c>
      <c r="D2395" s="509"/>
      <c r="E2395" s="509"/>
      <c r="F2395" s="509"/>
      <c r="G2395" s="509">
        <v>2000</v>
      </c>
      <c r="H2395" s="509"/>
      <c r="I2395" s="509"/>
      <c r="J2395" s="508"/>
    </row>
    <row r="2396" spans="1:10" ht="21" customHeight="1">
      <c r="A2396" s="507" t="s">
        <v>1429</v>
      </c>
      <c r="B2396" s="508" t="s">
        <v>634</v>
      </c>
      <c r="C2396" s="508" t="s">
        <v>411</v>
      </c>
      <c r="D2396" s="509"/>
      <c r="E2396" s="509"/>
      <c r="F2396" s="509"/>
      <c r="G2396" s="509">
        <f>(($G$2386*$G$2387)+($G$2388*$G$2389))/$G$2394</f>
        <v>7.555000000000001E-4</v>
      </c>
      <c r="H2396" s="509"/>
      <c r="I2396" s="509"/>
      <c r="J2396" s="508"/>
    </row>
    <row r="2397" spans="1:10" ht="21" customHeight="1">
      <c r="A2397" s="507" t="s">
        <v>1429</v>
      </c>
      <c r="B2397" s="508" t="s">
        <v>1183</v>
      </c>
      <c r="C2397" s="508" t="s">
        <v>411</v>
      </c>
      <c r="D2397" s="509"/>
      <c r="E2397" s="509"/>
      <c r="F2397" s="509"/>
      <c r="G2397" s="509">
        <f>(($G$2390*$G$2391)+($G$2392*$G$2393))/$G$2395</f>
        <v>1.596E-3</v>
      </c>
      <c r="H2397" s="509"/>
      <c r="I2397" s="509"/>
      <c r="J2397" s="508"/>
    </row>
    <row r="2398" spans="1:10" ht="21" customHeight="1">
      <c r="A2398" s="507" t="s">
        <v>1429</v>
      </c>
      <c r="B2398" s="508" t="s">
        <v>1184</v>
      </c>
      <c r="C2398" s="508" t="s">
        <v>397</v>
      </c>
      <c r="D2398" s="509"/>
      <c r="E2398" s="509"/>
      <c r="F2398" s="509"/>
      <c r="G2398" s="509">
        <v>22.577999999999999</v>
      </c>
      <c r="H2398" s="509"/>
      <c r="I2398" s="509"/>
      <c r="J2398" s="508"/>
    </row>
    <row r="2399" spans="1:10" ht="21" customHeight="1">
      <c r="A2399" s="507" t="s">
        <v>1429</v>
      </c>
      <c r="B2399" s="508" t="s">
        <v>1185</v>
      </c>
      <c r="C2399" s="508" t="s">
        <v>411</v>
      </c>
      <c r="D2399" s="509"/>
      <c r="E2399" s="509"/>
      <c r="F2399" s="509"/>
      <c r="G2399" s="509">
        <f>SUM($G$2312+$G$2313)</f>
        <v>1534640</v>
      </c>
      <c r="H2399" s="509"/>
      <c r="I2399" s="509"/>
      <c r="J2399" s="508"/>
    </row>
    <row r="2400" spans="1:10" ht="21" customHeight="1">
      <c r="A2400" s="507" t="s">
        <v>1429</v>
      </c>
      <c r="B2400" s="508" t="s">
        <v>1186</v>
      </c>
      <c r="C2400" s="508" t="s">
        <v>397</v>
      </c>
      <c r="D2400" s="509"/>
      <c r="E2400" s="509"/>
      <c r="F2400" s="509"/>
      <c r="G2400" s="509">
        <v>2000</v>
      </c>
      <c r="H2400" s="509"/>
      <c r="I2400" s="509"/>
      <c r="J2400" s="508"/>
    </row>
    <row r="2401" spans="1:10" ht="21" customHeight="1">
      <c r="A2401" s="507" t="s">
        <v>1429</v>
      </c>
      <c r="B2401" s="508" t="s">
        <v>647</v>
      </c>
      <c r="C2401" s="508" t="s">
        <v>411</v>
      </c>
      <c r="D2401" s="509"/>
      <c r="E2401" s="509"/>
      <c r="F2401" s="509"/>
      <c r="G2401" s="509">
        <f>$G$2398*$G$2399/$G$2400</f>
        <v>17324.55096</v>
      </c>
      <c r="H2401" s="509"/>
      <c r="I2401" s="509"/>
      <c r="J2401" s="508"/>
    </row>
    <row r="2402" spans="1:10" ht="21" customHeight="1">
      <c r="A2402" s="510" t="s">
        <v>1430</v>
      </c>
      <c r="B2402" s="506"/>
      <c r="C2402" s="506"/>
      <c r="D2402" s="511"/>
      <c r="E2402" s="511"/>
      <c r="F2402" s="511"/>
      <c r="G2402" s="511"/>
      <c r="H2402" s="511"/>
      <c r="I2402" s="512"/>
      <c r="J2402" s="506"/>
    </row>
    <row r="2403" spans="1:10" ht="21" customHeight="1">
      <c r="A2403" s="507" t="s">
        <v>1430</v>
      </c>
      <c r="B2403" s="508" t="s">
        <v>469</v>
      </c>
      <c r="C2403" s="508" t="s">
        <v>411</v>
      </c>
      <c r="D2403" s="509">
        <f>SUM($D$1522,$D$1523,$D$1524)</f>
        <v>149807</v>
      </c>
      <c r="E2403" s="509"/>
      <c r="F2403" s="509"/>
      <c r="G2403" s="509"/>
      <c r="H2403" s="509"/>
      <c r="I2403" s="509"/>
      <c r="J2403" s="508" t="s">
        <v>82</v>
      </c>
    </row>
    <row r="2404" spans="1:10" ht="21" customHeight="1">
      <c r="A2404" s="507" t="s">
        <v>1430</v>
      </c>
      <c r="B2404" s="508" t="s">
        <v>1128</v>
      </c>
      <c r="C2404" s="508" t="s">
        <v>411</v>
      </c>
      <c r="D2404" s="509">
        <f>(73.96+0.003*25+0.0006*298)*2.2046*0.138</f>
        <v>22.578420600240001</v>
      </c>
      <c r="E2404" s="509"/>
      <c r="F2404" s="509"/>
      <c r="G2404" s="509"/>
      <c r="H2404" s="509"/>
      <c r="I2404" s="509"/>
      <c r="J2404" s="508" t="s">
        <v>82</v>
      </c>
    </row>
    <row r="2405" spans="1:10" ht="21" customHeight="1">
      <c r="A2405" s="507" t="s">
        <v>1430</v>
      </c>
      <c r="B2405" s="508" t="s">
        <v>1319</v>
      </c>
      <c r="C2405" s="508" t="s">
        <v>411</v>
      </c>
      <c r="D2405" s="509">
        <f>$D$2403</f>
        <v>149807</v>
      </c>
      <c r="E2405" s="509"/>
      <c r="F2405" s="509"/>
      <c r="G2405" s="509"/>
      <c r="H2405" s="509"/>
      <c r="I2405" s="509"/>
      <c r="J2405" s="508"/>
    </row>
    <row r="2406" spans="1:10" ht="21" customHeight="1">
      <c r="A2406" s="507" t="s">
        <v>1430</v>
      </c>
      <c r="B2406" s="508" t="s">
        <v>745</v>
      </c>
      <c r="C2406" s="508" t="s">
        <v>411</v>
      </c>
      <c r="D2406" s="509">
        <f>$D$2404</f>
        <v>22.578420600240001</v>
      </c>
      <c r="E2406" s="509"/>
      <c r="F2406" s="509"/>
      <c r="G2406" s="509"/>
      <c r="H2406" s="509"/>
      <c r="I2406" s="509"/>
      <c r="J2406" s="508"/>
    </row>
    <row r="2407" spans="1:10" ht="21" customHeight="1">
      <c r="A2407" s="507" t="s">
        <v>1430</v>
      </c>
      <c r="B2407" s="508" t="s">
        <v>746</v>
      </c>
      <c r="C2407" s="508" t="s">
        <v>411</v>
      </c>
      <c r="D2407" s="509">
        <f>$D$2405</f>
        <v>149807</v>
      </c>
      <c r="E2407" s="509"/>
      <c r="F2407" s="509"/>
      <c r="G2407" s="509"/>
      <c r="H2407" s="509"/>
      <c r="I2407" s="509"/>
      <c r="J2407" s="508"/>
    </row>
    <row r="2408" spans="1:10" ht="21" customHeight="1">
      <c r="A2408" s="507" t="s">
        <v>1430</v>
      </c>
      <c r="B2408" s="508" t="s">
        <v>748</v>
      </c>
      <c r="C2408" s="508" t="s">
        <v>397</v>
      </c>
      <c r="D2408" s="509">
        <v>2000</v>
      </c>
      <c r="E2408" s="509"/>
      <c r="F2408" s="509"/>
      <c r="G2408" s="509"/>
      <c r="H2408" s="509"/>
      <c r="I2408" s="509"/>
      <c r="J2408" s="508"/>
    </row>
    <row r="2409" spans="1:10" ht="21" customHeight="1">
      <c r="A2409" s="507" t="s">
        <v>1430</v>
      </c>
      <c r="B2409" s="508" t="s">
        <v>1431</v>
      </c>
      <c r="C2409" s="508" t="s">
        <v>411</v>
      </c>
      <c r="D2409" s="509">
        <f>$D$2406*$D$2407/$D$2408</f>
        <v>1691.2027274300769</v>
      </c>
      <c r="E2409" s="509"/>
      <c r="F2409" s="509"/>
      <c r="G2409" s="509"/>
      <c r="H2409" s="509"/>
      <c r="I2409" s="509"/>
      <c r="J2409" s="508"/>
    </row>
    <row r="2412" spans="1:10" ht="25.5" customHeight="1">
      <c r="A2412" s="513" t="s">
        <v>1432</v>
      </c>
      <c r="B2412" s="514"/>
      <c r="C2412" s="514"/>
      <c r="D2412" s="514"/>
      <c r="E2412" s="514"/>
      <c r="F2412" s="514"/>
      <c r="G2412" s="514"/>
      <c r="H2412" s="514"/>
      <c r="I2412" s="514"/>
      <c r="J2412" s="514"/>
    </row>
    <row r="2415" spans="1:10" ht="14.25" customHeight="1">
      <c r="A2415" s="515" t="s">
        <v>823</v>
      </c>
      <c r="B2415" s="516"/>
      <c r="C2415" s="516"/>
      <c r="D2415" s="516"/>
      <c r="E2415" s="516"/>
      <c r="F2415" s="516"/>
      <c r="G2415" s="516"/>
      <c r="H2415" s="516"/>
      <c r="I2415" s="516"/>
      <c r="J2415" s="516"/>
    </row>
    <row r="2416" spans="1:10" ht="33.75" customHeight="1">
      <c r="A2416" s="517" t="s">
        <v>823</v>
      </c>
      <c r="B2416" s="518" t="s">
        <v>1433</v>
      </c>
      <c r="C2416" s="518" t="s">
        <v>397</v>
      </c>
      <c r="D2416" s="509" t="s">
        <v>238</v>
      </c>
      <c r="E2416" s="509" t="s">
        <v>238</v>
      </c>
      <c r="F2416" s="509" t="s">
        <v>238</v>
      </c>
      <c r="G2416" s="509" t="s">
        <v>238</v>
      </c>
      <c r="H2416" s="509" t="s">
        <v>238</v>
      </c>
      <c r="I2416" s="509" t="str">
        <f>'Cálculos AG'!F38</f>
        <v>0.15 MMBtu</v>
      </c>
      <c r="J2416" s="519" t="s">
        <v>1434</v>
      </c>
    </row>
    <row r="2417" spans="1:10" ht="33.75" customHeight="1">
      <c r="A2417" s="515" t="s">
        <v>893</v>
      </c>
      <c r="B2417" s="520"/>
      <c r="C2417" s="520"/>
      <c r="D2417" s="521"/>
      <c r="E2417" s="521"/>
      <c r="F2417" s="521"/>
      <c r="G2417" s="521"/>
      <c r="H2417" s="521"/>
      <c r="I2417" s="521"/>
      <c r="J2417" s="522"/>
    </row>
    <row r="2418" spans="1:10" ht="33.75" customHeight="1">
      <c r="A2418" s="517" t="s">
        <v>893</v>
      </c>
      <c r="B2418" s="518" t="s">
        <v>1433</v>
      </c>
      <c r="C2418" s="518" t="s">
        <v>397</v>
      </c>
      <c r="D2418" s="509" t="s">
        <v>238</v>
      </c>
      <c r="E2418" s="509" t="s">
        <v>238</v>
      </c>
      <c r="F2418" s="509" t="s">
        <v>238</v>
      </c>
      <c r="G2418" s="509" t="s">
        <v>238</v>
      </c>
      <c r="H2418" s="509" t="s">
        <v>238</v>
      </c>
      <c r="I2418" s="509" t="str">
        <f>'Cálculos PS'!F38</f>
        <v>0.15 MMBtu</v>
      </c>
      <c r="J2418" s="519" t="s">
        <v>1435</v>
      </c>
    </row>
    <row r="2419" spans="1:10" ht="33.75" customHeight="1">
      <c r="A2419" s="515" t="s">
        <v>1430</v>
      </c>
      <c r="B2419" s="520"/>
      <c r="C2419" s="520"/>
      <c r="D2419" s="521"/>
      <c r="E2419" s="521"/>
      <c r="F2419" s="521"/>
      <c r="G2419" s="521"/>
      <c r="H2419" s="521"/>
      <c r="I2419" s="521"/>
      <c r="J2419" s="522"/>
    </row>
    <row r="2420" spans="1:10" ht="33.75" customHeight="1">
      <c r="A2420" s="517" t="s">
        <v>1430</v>
      </c>
      <c r="B2420" s="518" t="s">
        <v>567</v>
      </c>
      <c r="C2420" s="518" t="s">
        <v>397</v>
      </c>
      <c r="D2420" s="509">
        <v>0.13800000000000001</v>
      </c>
      <c r="E2420" s="509"/>
      <c r="F2420" s="509">
        <v>0.13800000000000001</v>
      </c>
      <c r="G2420" s="509"/>
      <c r="H2420" s="509"/>
      <c r="I2420" s="509"/>
      <c r="J2420" s="519" t="s">
        <v>1436</v>
      </c>
    </row>
    <row r="2421" spans="1:10" ht="33.75" customHeight="1">
      <c r="A2421" s="515" t="s">
        <v>1125</v>
      </c>
      <c r="B2421" s="520"/>
      <c r="C2421" s="520"/>
      <c r="D2421" s="523"/>
      <c r="E2421" s="520"/>
      <c r="F2421" s="523"/>
      <c r="G2421" s="520"/>
      <c r="H2421" s="520"/>
      <c r="I2421" s="520"/>
      <c r="J2421" s="522"/>
    </row>
    <row r="2422" spans="1:10" ht="33.75" customHeight="1">
      <c r="A2422" s="517" t="s">
        <v>1125</v>
      </c>
      <c r="B2422" s="518" t="s">
        <v>849</v>
      </c>
      <c r="C2422" s="518" t="s">
        <v>397</v>
      </c>
      <c r="D2422" s="509"/>
      <c r="E2422" s="509">
        <v>0.13800000000000001</v>
      </c>
      <c r="F2422" s="509"/>
      <c r="G2422" s="509"/>
      <c r="H2422" s="509"/>
      <c r="I2422" s="509"/>
      <c r="J2422" s="519" t="s">
        <v>1437</v>
      </c>
    </row>
    <row r="2423" spans="1:10" ht="33.75" customHeight="1">
      <c r="A2423" s="515" t="s">
        <v>1438</v>
      </c>
      <c r="B2423" s="520"/>
      <c r="C2423" s="520"/>
      <c r="D2423" s="520"/>
      <c r="E2423" s="523"/>
      <c r="F2423" s="520"/>
      <c r="G2423" s="520"/>
      <c r="H2423" s="520"/>
      <c r="I2423" s="520"/>
      <c r="J2423" s="522"/>
    </row>
    <row r="2424" spans="1:10" ht="33.75" customHeight="1">
      <c r="A2424" s="517" t="s">
        <v>1438</v>
      </c>
      <c r="B2424" s="518" t="s">
        <v>1439</v>
      </c>
      <c r="C2424" s="518" t="s">
        <v>397</v>
      </c>
      <c r="D2424" s="509"/>
      <c r="E2424" s="509"/>
      <c r="F2424" s="509"/>
      <c r="G2424" s="509">
        <v>5817631.7999999998</v>
      </c>
      <c r="H2424" s="509">
        <v>5808755.6003803201</v>
      </c>
      <c r="I2424" s="509">
        <v>5834859.2367710397</v>
      </c>
      <c r="J2424" s="519" t="s">
        <v>1440</v>
      </c>
    </row>
    <row r="2425" spans="1:10" ht="33.75" customHeight="1">
      <c r="A2425" s="517" t="s">
        <v>1438</v>
      </c>
      <c r="B2425" s="518" t="s">
        <v>1441</v>
      </c>
      <c r="C2425" s="518" t="s">
        <v>397</v>
      </c>
      <c r="D2425" s="509"/>
      <c r="E2425" s="509"/>
      <c r="F2425" s="509"/>
      <c r="G2425" s="509">
        <v>36539.040000000001</v>
      </c>
      <c r="H2425" s="509">
        <v>31359.26</v>
      </c>
      <c r="I2425" s="509">
        <v>30363.505543138799</v>
      </c>
      <c r="J2425" s="519" t="s">
        <v>1442</v>
      </c>
    </row>
  </sheetData>
  <pageMargins left="0.7" right="0.7" top="0.75" bottom="0.75" header="0.511811023622047" footer="0.511811023622047"/>
  <pageSetup paperSize="9" orientation="portrait" horizontalDpi="300" verticalDpi="30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tabColor rgb="FF233E53"/>
  </sheetPr>
  <dimension ref="A1:I117"/>
  <sheetViews>
    <sheetView showGridLines="0" zoomScaleNormal="100" workbookViewId="0">
      <pane xSplit="2" ySplit="2" topLeftCell="C3" activePane="bottomRight" state="frozen"/>
      <selection pane="bottomRight"/>
      <selection pane="bottomLeft" activeCell="A3" sqref="A3"/>
      <selection pane="topRight" activeCell="C1" sqref="C1"/>
    </sheetView>
  </sheetViews>
  <sheetFormatPr defaultColWidth="8.7109375" defaultRowHeight="19.5"/>
  <cols>
    <col min="1" max="1" width="37" style="524" customWidth="1"/>
    <col min="2" max="9" width="15" style="524" customWidth="1"/>
    <col min="10" max="16380" width="8.7109375" style="524"/>
    <col min="16381" max="16384" width="11.5703125" style="524" customWidth="1"/>
  </cols>
  <sheetData>
    <row r="1" spans="1:9" s="525" customFormat="1" ht="30" customHeight="1">
      <c r="A1" s="610" t="s">
        <v>1443</v>
      </c>
      <c r="B1" s="610"/>
      <c r="C1" s="610"/>
      <c r="D1" s="610"/>
      <c r="E1" s="610"/>
      <c r="F1" s="610"/>
      <c r="G1" s="610"/>
      <c r="H1" s="610"/>
      <c r="I1" s="610"/>
    </row>
    <row r="2" spans="1:9" ht="37.5" customHeight="1">
      <c r="A2" s="526" t="s">
        <v>1444</v>
      </c>
      <c r="B2" s="526" t="s">
        <v>1445</v>
      </c>
      <c r="C2" s="526" t="s">
        <v>1446</v>
      </c>
      <c r="D2" s="526" t="s">
        <v>1447</v>
      </c>
      <c r="E2" s="526" t="s">
        <v>1448</v>
      </c>
      <c r="F2" s="526" t="s">
        <v>1449</v>
      </c>
      <c r="G2" s="526" t="s">
        <v>5</v>
      </c>
      <c r="H2" s="526" t="s">
        <v>1450</v>
      </c>
      <c r="I2" s="526" t="s">
        <v>20</v>
      </c>
    </row>
    <row r="3" spans="1:9" ht="21.75" customHeight="1">
      <c r="A3" s="527" t="s">
        <v>11</v>
      </c>
      <c r="B3" s="528" t="s">
        <v>90</v>
      </c>
      <c r="C3" s="529">
        <f>C15+C27+C39+C72+C81+C90+C99+C108</f>
        <v>60.363891634832761</v>
      </c>
      <c r="D3" s="529">
        <f>D15+D27+D39+D72+D81+D90+D99+D108</f>
        <v>66.385293130525525</v>
      </c>
      <c r="E3" s="529">
        <f>E15+E27+E39+E72+E81+E90+E99+E108</f>
        <v>68.922913881934079</v>
      </c>
      <c r="F3" s="529">
        <f>F15+F27+F39+F72+F81+F90+F99+F108</f>
        <v>58.977627134766983</v>
      </c>
      <c r="G3" s="529">
        <f>G15+G27+G39+G72+G81+G90+G99+G108</f>
        <v>78.487130474188206</v>
      </c>
      <c r="H3" s="529">
        <f>H15+H27+H39+H72+H81+H90+H99+H108</f>
        <v>73.051390000452045</v>
      </c>
      <c r="I3" s="530">
        <f>IF(COUNT(C3:H3)=6,SUM(C3:H3),"n.d.")</f>
        <v>406.18824625669959</v>
      </c>
    </row>
    <row r="4" spans="1:9" ht="21.75" customHeight="1">
      <c r="A4" s="531" t="s">
        <v>12</v>
      </c>
      <c r="B4" s="532" t="s">
        <v>90</v>
      </c>
      <c r="C4" s="533">
        <f>C16+C28+C52+C63</f>
        <v>52.226502372052757</v>
      </c>
      <c r="D4" s="533">
        <f>D16+D28+D52+D63</f>
        <v>60.435084065257513</v>
      </c>
      <c r="E4" s="533">
        <f>E16+E28+E52+E63</f>
        <v>45.189946372193276</v>
      </c>
      <c r="F4" s="533">
        <f>F16+F28+F52+F63</f>
        <v>62.083127318996972</v>
      </c>
      <c r="G4" s="533">
        <f>G16+G28+G52+G63</f>
        <v>74.136206877716205</v>
      </c>
      <c r="H4" s="533">
        <f>H16+H28+H52+H63</f>
        <v>86.139043651836516</v>
      </c>
      <c r="I4" s="530">
        <f>IF(COUNT(C4:H4)=6,SUM(C4:H4),"n.d.")</f>
        <v>380.20991065805327</v>
      </c>
    </row>
    <row r="5" spans="1:9" ht="21.75" customHeight="1">
      <c r="A5" s="527" t="s">
        <v>34</v>
      </c>
      <c r="B5" s="528" t="s">
        <v>90</v>
      </c>
      <c r="C5" s="529">
        <f>C17+C29+C53</f>
        <v>15.65306998623276</v>
      </c>
      <c r="D5" s="529">
        <f>D17+D29+D53</f>
        <v>31.515282151457516</v>
      </c>
      <c r="E5" s="529">
        <f>E17+E29+E53</f>
        <v>33.378453683020084</v>
      </c>
      <c r="F5" s="529">
        <f>F17+F29+F53</f>
        <v>22.136519489048979</v>
      </c>
      <c r="G5" s="529">
        <f>G17+G29+G53</f>
        <v>32.804448478936202</v>
      </c>
      <c r="H5" s="529">
        <f>H17+H29+H53</f>
        <v>29.461303908391315</v>
      </c>
      <c r="I5" s="530">
        <f>IF(COUNT(C5:H5)=6,SUM(C5:H5),"n.d.")</f>
        <v>164.94907769708686</v>
      </c>
    </row>
    <row r="6" spans="1:9" ht="21.75" customHeight="1">
      <c r="A6" s="531" t="s">
        <v>1451</v>
      </c>
      <c r="B6" s="532" t="s">
        <v>90</v>
      </c>
      <c r="C6" s="533">
        <f>C18+C30+C40+C54+C64+C73+C82+C91+C100+C109</f>
        <v>791.26773848965217</v>
      </c>
      <c r="D6" s="533">
        <f>D18+D30+D40+D54+D64+D73+D82+D91+D100+D109</f>
        <v>917.20946538941325</v>
      </c>
      <c r="E6" s="533">
        <f>E18+E30+E40+E54+E64+E73+E82+E91+E100+E109</f>
        <v>620.16439974955836</v>
      </c>
      <c r="F6" s="533">
        <f>F18+F30+F40+F54+F64+F73+F82+F91+F100+F109</f>
        <v>696.07746657397115</v>
      </c>
      <c r="G6" s="533">
        <f>G18+G30+G40+G54+G64+G73+G82+G91+G100+G109</f>
        <v>987.31129624395021</v>
      </c>
      <c r="H6" s="533">
        <f>H18+H30+H40+H54+H64+H73+H82+H91+H100+H109</f>
        <v>1004.2533462578358</v>
      </c>
      <c r="I6" s="530">
        <f>IF(COUNT(C6:H6)=6,SUM(C6:H6),"n.d.")</f>
        <v>5016.2837127043804</v>
      </c>
    </row>
    <row r="7" spans="1:9" ht="21.75" customHeight="1">
      <c r="A7" s="527" t="s">
        <v>14</v>
      </c>
      <c r="B7" s="528" t="s">
        <v>90</v>
      </c>
      <c r="C7" s="529">
        <f>C19+C31+C41+C55+C65+C74+C83+C92+C101+C110</f>
        <v>1309.3355102693993</v>
      </c>
      <c r="D7" s="529">
        <f>D19+D31+D41+D55+D65+D74+D83+D92+D101+D110</f>
        <v>1033.4020078736787</v>
      </c>
      <c r="E7" s="529">
        <f>E19+E31+E41+E55+E65+E74+E83+E92+E101+E110</f>
        <v>1329.3051227745723</v>
      </c>
      <c r="F7" s="529">
        <f>F19+F31+F41+F55+F65+F74+F83+F92+F101+F110</f>
        <v>1428.4906779173734</v>
      </c>
      <c r="G7" s="529">
        <f>G19+G31+G41+G55+G65+G74+G83+G92+G101+G110</f>
        <v>1576.748303107262</v>
      </c>
      <c r="H7" s="529">
        <f>H19+H31+H41+H55+H65+H74+H83+H92+H101+H110</f>
        <v>1916.0189661086818</v>
      </c>
      <c r="I7" s="530">
        <f>IF(COUNT(C7:H7)=6,SUM(C7:H7),"n.d.")</f>
        <v>8593.3005880509681</v>
      </c>
    </row>
    <row r="8" spans="1:9" ht="21.75" customHeight="1">
      <c r="A8" s="531" t="s">
        <v>16</v>
      </c>
      <c r="B8" s="532" t="s">
        <v>90</v>
      </c>
      <c r="C8" s="533">
        <f>C20+C32+C42+C56+C66+C75+C84+C93+C102+C111</f>
        <v>10.706793270404061</v>
      </c>
      <c r="D8" s="533">
        <f>D20+D32+D42+D56+D66+D75+D84+D93+D102+D111</f>
        <v>8.5989563021491193</v>
      </c>
      <c r="E8" s="533">
        <f>E20+E32+E42+E56+E66+E75+E84+E93+E102+E111</f>
        <v>8.8560972064525778</v>
      </c>
      <c r="F8" s="533">
        <f>F20+F32+F42+F56+F66+F75+F84+F93+F102+F111</f>
        <v>12.735834414154947</v>
      </c>
      <c r="G8" s="533">
        <f>G20+G32+G42+G56+G66+G75+G84+G93+G102+G111</f>
        <v>12.759607739906698</v>
      </c>
      <c r="H8" s="533">
        <f>H20+H32+H42+H56+H66+H75+H84+H93+H102+H111</f>
        <v>15.02506297298304</v>
      </c>
      <c r="I8" s="530">
        <f>IF(COUNT(C8:H8)=6,SUM(C8:H8),"n.d.")</f>
        <v>68.682351906050442</v>
      </c>
    </row>
    <row r="9" spans="1:9" ht="21.75" customHeight="1">
      <c r="A9" s="527" t="s">
        <v>15</v>
      </c>
      <c r="B9" s="528" t="s">
        <v>90</v>
      </c>
      <c r="C9" s="529">
        <f>C21+C33+C43+C57+C67+C76+C85+C94+C103+C112</f>
        <v>77.949660829916724</v>
      </c>
      <c r="D9" s="529">
        <f>D21+D33+D43+D57+D67+D76+D85+D94+D103+D112</f>
        <v>56.757547359742645</v>
      </c>
      <c r="E9" s="529">
        <f>E21+E33+E43+E57+E67+E76+E85+E94+E103+E112</f>
        <v>59.507355345000526</v>
      </c>
      <c r="F9" s="529">
        <f>F21+F33+F43+F57+F67+F76+F85+F94+F103+F112</f>
        <v>80.409855127333529</v>
      </c>
      <c r="G9" s="529">
        <f>G21+G33+G43+G57+G67+G76+G85+G94+G103+G112</f>
        <v>82.882666602796405</v>
      </c>
      <c r="H9" s="529">
        <f>H21+H33+H43+H57+H67+H76+H85+H94+H103+H112</f>
        <v>107.53592419219768</v>
      </c>
      <c r="I9" s="530">
        <f>IF(COUNT(C9:H9)=6,SUM(C9:H9),"n.d.")</f>
        <v>465.04300945698748</v>
      </c>
    </row>
    <row r="10" spans="1:9" ht="21.75" customHeight="1">
      <c r="A10" s="531" t="s">
        <v>36</v>
      </c>
      <c r="B10" s="532" t="s">
        <v>90</v>
      </c>
      <c r="C10" s="533">
        <f>C22+C34+C58</f>
        <v>6.2419266139335603</v>
      </c>
      <c r="D10" s="533">
        <f>D22+D34+D58</f>
        <v>24.231797257079439</v>
      </c>
      <c r="E10" s="533">
        <f>E22+E34+E58</f>
        <v>16.129903994204017</v>
      </c>
      <c r="F10" s="533">
        <f>F22+F34+F58</f>
        <v>12.592152865781308</v>
      </c>
      <c r="G10" s="533">
        <f>G22+G34+G58</f>
        <v>20.005882800215872</v>
      </c>
      <c r="H10" s="533">
        <f>H22+H34+H58</f>
        <v>9.1559919871137598</v>
      </c>
      <c r="I10" s="530">
        <f>IF(COUNT(C10:H10)=6,SUM(C10:H10),"n.d.")</f>
        <v>88.357655518327959</v>
      </c>
    </row>
    <row r="11" spans="1:9" ht="21.75" customHeight="1">
      <c r="A11" s="527" t="s">
        <v>17</v>
      </c>
      <c r="B11" s="528" t="s">
        <v>90</v>
      </c>
      <c r="C11" s="534">
        <f>C23+C35+C44+C59+C68+C77+C86+C95+C104+C113</f>
        <v>2.1927393807054996E-2</v>
      </c>
      <c r="D11" s="534">
        <f>D23+D35+D44+D59+D68+D77+D86+D95+D104+D113</f>
        <v>1.9528200781840001E-2</v>
      </c>
      <c r="E11" s="534">
        <f>E23+E35+E44+E59+E68+E77+E86+E95+E104+E113</f>
        <v>1.6831572524180001E-2</v>
      </c>
      <c r="F11" s="534">
        <f>F23+F35+F44+F59+F68+F77+F86+F95+F104+F113</f>
        <v>2.5690042036920002E-2</v>
      </c>
      <c r="G11" s="534">
        <f>G23+G35+G44+G59+G68+G77+G86+G95+G104+G113</f>
        <v>2.5944977832125002E-2</v>
      </c>
      <c r="H11" s="534">
        <f>H23+H35+H44+H59+H68+H77+H86+H95+H104+H113</f>
        <v>2.8672189678130001E-2</v>
      </c>
      <c r="I11" s="535">
        <f>IF(COUNT(C11:H11)=6,SUM(C11:H11),"n.d.")</f>
        <v>0.13859437666025001</v>
      </c>
    </row>
    <row r="12" spans="1:9" ht="21.75" customHeight="1">
      <c r="A12" s="562" t="s">
        <v>18</v>
      </c>
      <c r="B12" s="563" t="s">
        <v>90</v>
      </c>
      <c r="C12" s="564">
        <f>C24+C36+C45+C60+C69+C78+C87+C96+C105+C114</f>
        <v>538679.35632801859</v>
      </c>
      <c r="D12" s="564">
        <f>D24+D36+D45+D60+D69+D78+D87+D96+D105+D114</f>
        <v>465431.56918365834</v>
      </c>
      <c r="E12" s="564">
        <f>E24+E36+E45+E60+E69+E78+E87+E96+E105+E114</f>
        <v>543547.57372634357</v>
      </c>
      <c r="F12" s="564">
        <f>F24+F36+F45+F60+F69+F78+F87+F96+F105+F114</f>
        <v>594795.02116922324</v>
      </c>
      <c r="G12" s="564">
        <f>G24+G36+G45+G60+G69+G78+G87+G96+G105+G114</f>
        <v>661029.59860397479</v>
      </c>
      <c r="H12" s="564">
        <f>H24+H36+H45+H60+H69+H78+H87+H96+H105+H114</f>
        <v>800501.53274916823</v>
      </c>
      <c r="I12" s="565">
        <f>IF(COUNT(C12:H12)=6,SUM(C12:H12),"n.d.")</f>
        <v>3603984.6517603868</v>
      </c>
    </row>
    <row r="13" spans="1:9" ht="21.75" customHeight="1">
      <c r="A13" s="611" t="s">
        <v>1452</v>
      </c>
      <c r="B13" s="611"/>
      <c r="C13" s="611"/>
      <c r="D13" s="611"/>
      <c r="E13" s="611"/>
      <c r="F13" s="611"/>
      <c r="G13" s="611"/>
      <c r="H13" s="611"/>
      <c r="I13" s="611"/>
    </row>
    <row r="14" spans="1:9" ht="31.5" customHeight="1">
      <c r="A14" s="609" t="s">
        <v>33</v>
      </c>
      <c r="B14" s="609"/>
      <c r="C14" s="536"/>
      <c r="D14" s="536"/>
      <c r="E14" s="536"/>
      <c r="F14" s="536"/>
      <c r="G14" s="536"/>
      <c r="H14" s="536"/>
      <c r="I14" s="536"/>
    </row>
    <row r="15" spans="1:9" ht="21.75" customHeight="1">
      <c r="A15" s="537" t="s">
        <v>11</v>
      </c>
      <c r="B15" s="537" t="s">
        <v>90</v>
      </c>
      <c r="C15" s="538">
        <f>'Datos de origen 2026'!$D$389</f>
        <v>7.8217207847499992</v>
      </c>
      <c r="D15" s="538">
        <f>'Datos de origen 2026'!$E$389</f>
        <v>22.224863915</v>
      </c>
      <c r="E15" s="538">
        <f>'Datos de origen 2026'!$F$389</f>
        <v>19.98405600561</v>
      </c>
      <c r="F15" s="538">
        <f>'Datos de origen 2026'!$G$389</f>
        <v>8.3705581404</v>
      </c>
      <c r="G15" s="538">
        <f>'Datos de origen 2026'!$H$389</f>
        <v>19.539109700250002</v>
      </c>
      <c r="H15" s="538">
        <f>'Datos de origen 2026'!$I$389</f>
        <v>15.64151249871</v>
      </c>
      <c r="I15" s="539">
        <f>IF(COUNT(C15:H15)=6,SUM(C15:H15),"n.d.")</f>
        <v>93.581821044720002</v>
      </c>
    </row>
    <row r="16" spans="1:9" ht="21.75" customHeight="1">
      <c r="A16" s="537" t="s">
        <v>12</v>
      </c>
      <c r="B16" s="537" t="s">
        <v>90</v>
      </c>
      <c r="C16" s="538">
        <f>'Datos de origen 2026'!$D$390</f>
        <v>12.365071413119999</v>
      </c>
      <c r="D16" s="538">
        <f>'Datos de origen 2026'!$E$390</f>
        <v>32.642573894999998</v>
      </c>
      <c r="E16" s="538">
        <f>'Datos de origen 2026'!$F$390</f>
        <v>30.5805128175882</v>
      </c>
      <c r="F16" s="538">
        <f>'Datos de origen 2026'!$G$390</f>
        <v>13.469096743847999</v>
      </c>
      <c r="G16" s="538">
        <f>'Datos de origen 2026'!$H$390</f>
        <v>29.721732148080001</v>
      </c>
      <c r="H16" s="538">
        <f>'Datos de origen 2026'!$I$390</f>
        <v>24.558257703760198</v>
      </c>
      <c r="I16" s="539">
        <f>IF(COUNT(C16:H16)=6,SUM(C16:H16),"n.d.")</f>
        <v>143.33724472139639</v>
      </c>
    </row>
    <row r="17" spans="1:9" ht="21.75" customHeight="1">
      <c r="A17" s="537" t="s">
        <v>34</v>
      </c>
      <c r="B17" s="537" t="s">
        <v>90</v>
      </c>
      <c r="C17" s="538">
        <f>'Datos de origen 2026'!$D$391</f>
        <v>11.177535214499999</v>
      </c>
      <c r="D17" s="538">
        <f>'Datos de origen 2026'!$E$391</f>
        <v>27.241895522999997</v>
      </c>
      <c r="E17" s="538">
        <f>'Datos de origen 2026'!$F$391</f>
        <v>26.723847135915001</v>
      </c>
      <c r="F17" s="538">
        <f>'Datos de origen 2026'!$G$391</f>
        <v>12.390461076599999</v>
      </c>
      <c r="G17" s="538">
        <f>'Datos de origen 2026'!$H$391</f>
        <v>25.806266545500002</v>
      </c>
      <c r="H17" s="538">
        <f>'Datos de origen 2026'!$I$391</f>
        <v>22.046183365814997</v>
      </c>
      <c r="I17" s="539">
        <f>IF(COUNT(C17:H17)=6,SUM(C17:H17),"n.d.")</f>
        <v>125.38618886133001</v>
      </c>
    </row>
    <row r="18" spans="1:9" ht="21.75" customHeight="1">
      <c r="A18" s="537" t="s">
        <v>1451</v>
      </c>
      <c r="B18" s="537" t="s">
        <v>90</v>
      </c>
      <c r="C18" s="538">
        <f>'Datos de origen 2026'!$D$392</f>
        <v>37.873691702899997</v>
      </c>
      <c r="D18" s="538">
        <f>'Datos de origen 2026'!$E$392</f>
        <v>364.98374619160001</v>
      </c>
      <c r="E18" s="538">
        <f>'Datos de origen 2026'!$F$392</f>
        <v>205.36598341648801</v>
      </c>
      <c r="F18" s="538">
        <f>'Datos de origen 2026'!$G$392</f>
        <v>16.32634890912</v>
      </c>
      <c r="G18" s="538">
        <f>'Datos de origen 2026'!$H$392</f>
        <v>224.02043127449997</v>
      </c>
      <c r="H18" s="538">
        <f>'Datos de origen 2026'!$I$392</f>
        <v>93.175721994767983</v>
      </c>
      <c r="I18" s="539">
        <f>IF(COUNT(C18:H18)=6,SUM(C18:H18),"n.d.")</f>
        <v>941.74592348937597</v>
      </c>
    </row>
    <row r="19" spans="1:9" ht="21.75" customHeight="1">
      <c r="A19" s="537" t="s">
        <v>14</v>
      </c>
      <c r="B19" s="537" t="s">
        <v>90</v>
      </c>
      <c r="C19" s="538">
        <f>'Datos de origen 2026'!$D$393</f>
        <v>441.55713479500002</v>
      </c>
      <c r="D19" s="538">
        <f>'Datos de origen 2026'!$E$393</f>
        <v>392.07313459999995</v>
      </c>
      <c r="E19" s="538">
        <f>'Datos de origen 2026'!$F$393</f>
        <v>778.00233564270002</v>
      </c>
      <c r="F19" s="538">
        <f>'Datos de origen 2026'!$G$393</f>
        <v>554.36726242799989</v>
      </c>
      <c r="G19" s="538">
        <f>'Datos de origen 2026'!$H$393</f>
        <v>699.09805990500001</v>
      </c>
      <c r="H19" s="538">
        <f>'Datos de origen 2026'!$I$393</f>
        <v>824.56230193469992</v>
      </c>
      <c r="I19" s="539">
        <f>IF(COUNT(C19:H19)=6,SUM(C19:H19),"n.d.")</f>
        <v>3689.6602293053998</v>
      </c>
    </row>
    <row r="20" spans="1:9" ht="21.75" customHeight="1">
      <c r="A20" s="537" t="s">
        <v>16</v>
      </c>
      <c r="B20" s="537" t="s">
        <v>90</v>
      </c>
      <c r="C20" s="538">
        <f>'Datos de origen 2026'!$D$394</f>
        <v>1.04291260021</v>
      </c>
      <c r="D20" s="538">
        <f>'Datos de origen 2026'!$E$394</f>
        <v>1.2655853678</v>
      </c>
      <c r="E20" s="538">
        <f>'Datos de origen 2026'!$F$394</f>
        <v>1.9753963178976002</v>
      </c>
      <c r="F20" s="538">
        <f>'Datos de origen 2026'!$G$394</f>
        <v>1.2771479672640003</v>
      </c>
      <c r="G20" s="538">
        <f>'Datos de origen 2026'!$H$394</f>
        <v>1.8102049683899999</v>
      </c>
      <c r="H20" s="538">
        <f>'Datos de origen 2026'!$I$394</f>
        <v>1.9705371894935999</v>
      </c>
      <c r="I20" s="539">
        <f>IF(COUNT(C20:H20)=6,SUM(C20:H20),"n.d.")</f>
        <v>9.3417844110551993</v>
      </c>
    </row>
    <row r="21" spans="1:9" ht="21.75" customHeight="1">
      <c r="A21" s="537" t="s">
        <v>15</v>
      </c>
      <c r="B21" s="537" t="s">
        <v>90</v>
      </c>
      <c r="C21" s="538">
        <f>'Datos de origen 2026'!$D$395</f>
        <v>11.004479171099998</v>
      </c>
      <c r="D21" s="538">
        <f>'Datos de origen 2026'!$E$395</f>
        <v>6.2399312927999997</v>
      </c>
      <c r="E21" s="538">
        <f>'Datos de origen 2026'!$F$395</f>
        <v>17.955879589097997</v>
      </c>
      <c r="F21" s="538">
        <f>'Datos de origen 2026'!$G$395</f>
        <v>14.150921098319998</v>
      </c>
      <c r="G21" s="538">
        <f>'Datos de origen 2026'!$H$395</f>
        <v>15.769235178900001</v>
      </c>
      <c r="H21" s="538">
        <f>'Datos de origen 2026'!$I$395</f>
        <v>20.310467713577996</v>
      </c>
      <c r="I21" s="539">
        <f>IF(COUNT(C21:H21)=6,SUM(C21:H21),"n.d.")</f>
        <v>85.43091404379598</v>
      </c>
    </row>
    <row r="22" spans="1:9" ht="21.75" customHeight="1">
      <c r="A22" s="537" t="s">
        <v>36</v>
      </c>
      <c r="B22" s="537" t="s">
        <v>90</v>
      </c>
      <c r="C22" s="538">
        <f>'Datos de origen 2026'!$D$396</f>
        <v>2.0333715746509995</v>
      </c>
      <c r="D22" s="538">
        <f>'Datos de origen 2026'!$E$396</f>
        <v>16.854304608039996</v>
      </c>
      <c r="E22" s="538">
        <f>'Datos de origen 2026'!$F$396</f>
        <v>9.6915367857324597</v>
      </c>
      <c r="F22" s="538">
        <f>'Datos de origen 2026'!$G$396</f>
        <v>1.1252900982743999</v>
      </c>
      <c r="G22" s="538">
        <f>'Datos de origen 2026'!$H$396</f>
        <v>10.266545209808999</v>
      </c>
      <c r="H22" s="538">
        <f>'Datos de origen 2026'!$I$396</f>
        <v>4.8167248453140594</v>
      </c>
      <c r="I22" s="539">
        <f>IF(COUNT(C22:H22)=6,SUM(C22:H22),"n.d.")</f>
        <v>44.787773121820905</v>
      </c>
    </row>
    <row r="23" spans="1:9" ht="21.75" customHeight="1">
      <c r="A23" s="537" t="s">
        <v>17</v>
      </c>
      <c r="B23" s="537" t="s">
        <v>90</v>
      </c>
      <c r="C23" s="540">
        <f>'Datos de origen 2026'!$D$397</f>
        <v>3.1149852205499993E-4</v>
      </c>
      <c r="D23" s="540">
        <f>'Datos de origen 2026'!$E$397</f>
        <v>3.4208125597799993E-3</v>
      </c>
      <c r="E23" s="540">
        <f>'Datos de origen 2026'!$F$397</f>
        <v>1.8251947539E-3</v>
      </c>
      <c r="F23" s="540">
        <f>'Datos de origen 2026'!$G$397</f>
        <v>9.2811090959999992E-5</v>
      </c>
      <c r="G23" s="540">
        <f>'Datos de origen 2026'!$H$397</f>
        <v>1.9655882136449996E-3</v>
      </c>
      <c r="H23" s="540">
        <f>'Datos de origen 2026'!$I$397</f>
        <v>7.947242811899999E-4</v>
      </c>
      <c r="I23" s="541">
        <f>IF(COUNT(C23:H23)=6,SUM(C23:H23),"n.d.")</f>
        <v>8.4106294215299995E-3</v>
      </c>
    </row>
    <row r="24" spans="1:9" ht="21.75" customHeight="1">
      <c r="A24" s="537" t="s">
        <v>18</v>
      </c>
      <c r="B24" s="537" t="s">
        <v>90</v>
      </c>
      <c r="C24" s="538">
        <f>'Datos de origen 2026'!$D$398</f>
        <v>149862.55175399021</v>
      </c>
      <c r="D24" s="538">
        <f>'Datos de origen 2026'!$E$398</f>
        <v>166376.97412001941</v>
      </c>
      <c r="E24" s="538">
        <f>'Datos de origen 2026'!$F$398</f>
        <v>279191.76903727918</v>
      </c>
      <c r="F24" s="538">
        <f>'Datos de origen 2026'!$G$398</f>
        <v>184611.47063273174</v>
      </c>
      <c r="G24" s="538">
        <f>'Datos de origen 2026'!$H$398</f>
        <v>254737.80551084192</v>
      </c>
      <c r="H24" s="538">
        <f>'Datos de origen 2026'!$I$398</f>
        <v>282380.01012588246</v>
      </c>
      <c r="I24" s="539">
        <f>IF(COUNT(C24:H24)=6,SUM(C24:H24),"n.d.")</f>
        <v>1317160.5811807448</v>
      </c>
    </row>
    <row r="25" spans="1:9" ht="21.75" customHeight="1">
      <c r="A25" s="537"/>
      <c r="B25" s="537"/>
      <c r="C25" s="537"/>
      <c r="D25" s="537"/>
      <c r="E25" s="537"/>
      <c r="F25" s="537"/>
      <c r="G25" s="537"/>
      <c r="H25" s="537"/>
      <c r="I25" s="537"/>
    </row>
    <row r="26" spans="1:9" ht="31.5" customHeight="1">
      <c r="A26" s="609" t="s">
        <v>10</v>
      </c>
      <c r="B26" s="609"/>
      <c r="C26" s="536"/>
      <c r="D26" s="536"/>
      <c r="E26" s="536"/>
      <c r="F26" s="536"/>
      <c r="G26" s="536"/>
      <c r="H26" s="536"/>
      <c r="I26" s="536"/>
    </row>
    <row r="27" spans="1:9" ht="21.75" customHeight="1">
      <c r="A27" s="537" t="s">
        <v>11</v>
      </c>
      <c r="B27" s="537" t="s">
        <v>90</v>
      </c>
      <c r="C27" s="538">
        <f>'Datos de origen 2026'!$D$746</f>
        <v>6.65210105853276</v>
      </c>
      <c r="D27" s="538">
        <f>'Datos de origen 2026'!$E$746</f>
        <v>9.0407409144955189</v>
      </c>
      <c r="E27" s="538">
        <f>'Datos de origen 2026'!$F$746</f>
        <v>9.6363334717390803</v>
      </c>
      <c r="F27" s="538">
        <f>'Datos de origen 2026'!$G$746</f>
        <v>13.457678977466975</v>
      </c>
      <c r="G27" s="538">
        <f>'Datos de origen 2026'!$H$746</f>
        <v>12.5445657951702</v>
      </c>
      <c r="H27" s="538">
        <f>'Datos de origen 2026'!$I$746</f>
        <v>9.9134503458060603</v>
      </c>
      <c r="I27" s="539">
        <f>IF(COUNT(C27:H27)=6,SUM(C27:H27),"n.d.")</f>
        <v>61.244870563210597</v>
      </c>
    </row>
    <row r="28" spans="1:9" ht="21.75" customHeight="1">
      <c r="A28" s="537" t="s">
        <v>12</v>
      </c>
      <c r="B28" s="537" t="s">
        <v>90</v>
      </c>
      <c r="C28" s="538">
        <f>'Datos de origen 2026'!$D$747</f>
        <v>7.7257350978327599</v>
      </c>
      <c r="D28" s="538">
        <f>'Datos de origen 2026'!$E$747</f>
        <v>10.954618568057519</v>
      </c>
      <c r="E28" s="538">
        <f>'Datos de origen 2026'!$F$747</f>
        <v>11.808578516905079</v>
      </c>
      <c r="F28" s="538">
        <f>'Datos de origen 2026'!$G$747</f>
        <v>16.772661677348978</v>
      </c>
      <c r="G28" s="538">
        <f>'Datos de origen 2026'!$H$747</f>
        <v>15.510460497136201</v>
      </c>
      <c r="H28" s="538">
        <f>'Datos de origen 2026'!$I$747</f>
        <v>11.05487931122406</v>
      </c>
      <c r="I28" s="539">
        <f>IF(COUNT(C28:H28)=6,SUM(C28:H28),"n.d.")</f>
        <v>73.826933668504594</v>
      </c>
    </row>
    <row r="29" spans="1:9" ht="21.75" customHeight="1">
      <c r="A29" s="537" t="s">
        <v>34</v>
      </c>
      <c r="B29" s="537" t="s">
        <v>90</v>
      </c>
      <c r="C29" s="538">
        <f>'Datos de origen 2026'!$D$570+'Datos de origen 2026'!$D$664</f>
        <v>3.9165420978327603</v>
      </c>
      <c r="D29" s="538">
        <f>'Datos de origen 2026'!$E$570+'Datos de origen 2026'!$E$664</f>
        <v>4.0736943080575205</v>
      </c>
      <c r="E29" s="538">
        <f>'Datos de origen 2026'!$F$570+'Datos de origen 2026'!$F$664</f>
        <v>6.4796504369050796</v>
      </c>
      <c r="F29" s="538">
        <f>'Datos de origen 2026'!$G$570+'Datos de origen 2026'!$G$664</f>
        <v>6.4350811373489769</v>
      </c>
      <c r="G29" s="538">
        <f>'Datos de origen 2026'!$H$570+'Datos de origen 2026'!$H$664</f>
        <v>6.9364439971362009</v>
      </c>
      <c r="H29" s="538">
        <f>'Datos de origen 2026'!$I$570+'Datos de origen 2026'!$I$664</f>
        <v>7.4145150312240595</v>
      </c>
      <c r="I29" s="539">
        <f>IF(COUNT(C29:H29)=6,SUM(C29:H29),"n.d.")</f>
        <v>35.255927008504599</v>
      </c>
    </row>
    <row r="30" spans="1:9" ht="21.75" customHeight="1">
      <c r="A30" s="537" t="s">
        <v>1451</v>
      </c>
      <c r="B30" s="537" t="s">
        <v>90</v>
      </c>
      <c r="C30" s="538">
        <f>'Datos de origen 2026'!$D$748</f>
        <v>50.125231013232082</v>
      </c>
      <c r="D30" s="538">
        <f>'Datos de origen 2026'!$E$748</f>
        <v>89.042530637663305</v>
      </c>
      <c r="E30" s="538">
        <f>'Datos de origen 2026'!$F$748</f>
        <v>61.767045444635158</v>
      </c>
      <c r="F30" s="538">
        <f>'Datos de origen 2026'!$G$748</f>
        <v>130.26288502386868</v>
      </c>
      <c r="G30" s="538">
        <f>'Datos de origen 2026'!$H$748</f>
        <v>112.91099921885136</v>
      </c>
      <c r="H30" s="538">
        <f>'Datos de origen 2026'!$I$748</f>
        <v>50.070976904342089</v>
      </c>
      <c r="I30" s="539">
        <f>IF(COUNT(C30:H30)=6,SUM(C30:H30),"n.d.")</f>
        <v>494.1796682425927</v>
      </c>
    </row>
    <row r="31" spans="1:9" ht="21.75" customHeight="1">
      <c r="A31" s="537" t="s">
        <v>14</v>
      </c>
      <c r="B31" s="537" t="s">
        <v>90</v>
      </c>
      <c r="C31" s="538">
        <f>'Datos de origen 2026'!$D$749</f>
        <v>68.484657523206309</v>
      </c>
      <c r="D31" s="538">
        <f>'Datos de origen 2026'!$E$749</f>
        <v>83.195873728015528</v>
      </c>
      <c r="E31" s="538">
        <f>'Datos de origen 2026'!$F$749</f>
        <v>73.950231815786765</v>
      </c>
      <c r="F31" s="538">
        <f>'Datos de origen 2026'!$G$749</f>
        <v>105.88885367200528</v>
      </c>
      <c r="G31" s="538">
        <f>'Datos de origen 2026'!$H$749</f>
        <v>98.573426563640695</v>
      </c>
      <c r="H31" s="538">
        <f>'Datos de origen 2026'!$I$749</f>
        <v>110.65008691236142</v>
      </c>
      <c r="I31" s="539">
        <f>IF(COUNT(C31:H31)=6,SUM(C31:H31),"n.d.")</f>
        <v>540.74313021501598</v>
      </c>
    </row>
    <row r="32" spans="1:9" ht="21.75" customHeight="1">
      <c r="A32" s="537" t="s">
        <v>16</v>
      </c>
      <c r="B32" s="537" t="s">
        <v>90</v>
      </c>
      <c r="C32" s="538">
        <f>'Datos de origen 2026'!$D$751</f>
        <v>1.6778240725240603</v>
      </c>
      <c r="D32" s="538">
        <f>'Datos de origen 2026'!$E$751</f>
        <v>2.08661091102912</v>
      </c>
      <c r="E32" s="538">
        <f>'Datos de origen 2026'!$F$751</f>
        <v>2.38469407443498</v>
      </c>
      <c r="F32" s="538">
        <f>'Datos de origen 2026'!$G$751</f>
        <v>3.0507973727709472</v>
      </c>
      <c r="G32" s="538">
        <f>'Datos de origen 2026'!$H$751</f>
        <v>2.9484667626267003</v>
      </c>
      <c r="H32" s="538">
        <f>'Datos de origen 2026'!$I$751</f>
        <v>2.72333371623411</v>
      </c>
      <c r="I32" s="539">
        <f>IF(COUNT(C32:H32)=6,SUM(C32:H32),"n.d.")</f>
        <v>14.871726909619918</v>
      </c>
    </row>
    <row r="33" spans="1:9" ht="21.75" customHeight="1">
      <c r="A33" s="537" t="s">
        <v>15</v>
      </c>
      <c r="B33" s="537" t="s">
        <v>90</v>
      </c>
      <c r="C33" s="538">
        <f>'Datos de origen 2026'!$D$750</f>
        <v>14.624823582616733</v>
      </c>
      <c r="D33" s="538">
        <f>'Datos de origen 2026'!$E$750</f>
        <v>16.610418957742638</v>
      </c>
      <c r="E33" s="538">
        <f>'Datos de origen 2026'!$F$750</f>
        <v>13.587211762502523</v>
      </c>
      <c r="F33" s="538">
        <f>'Datos de origen 2026'!$G$750</f>
        <v>19.28670334151353</v>
      </c>
      <c r="G33" s="538">
        <f>'Datos de origen 2026'!$H$750</f>
        <v>18.113921519496408</v>
      </c>
      <c r="H33" s="538">
        <f>'Datos de origen 2026'!$I$750</f>
        <v>24.685851319407288</v>
      </c>
      <c r="I33" s="539">
        <f>IF(COUNT(C33:H33)=6,SUM(C33:H33),"n.d.")</f>
        <v>106.90893048327912</v>
      </c>
    </row>
    <row r="34" spans="1:9" ht="21.75" customHeight="1">
      <c r="A34" s="537" t="s">
        <v>36</v>
      </c>
      <c r="B34" s="537" t="s">
        <v>90</v>
      </c>
      <c r="C34" s="538">
        <f>'Datos de origen 2026'!$D$522+'Datos de origen 2026'!$D$574+'Datos de origen 2026'!$D$668</f>
        <v>4.2013011618934986</v>
      </c>
      <c r="D34" s="538">
        <f>'Datos de origen 2026'!$E$522+'Datos de origen 2026'!$E$574+'Datos de origen 2026'!$E$668</f>
        <v>7.3749013027206951</v>
      </c>
      <c r="E34" s="538">
        <f>'Datos de origen 2026'!$F$522+'Datos de origen 2026'!$F$574+'Datos de origen 2026'!$F$668</f>
        <v>6.4360968564059338</v>
      </c>
      <c r="F34" s="538">
        <f>'Datos de origen 2026'!$G$522+'Datos de origen 2026'!$G$574+'Datos de origen 2026'!$G$668</f>
        <v>11.423897225536596</v>
      </c>
      <c r="G34" s="538">
        <f>'Datos de origen 2026'!$H$522+'Datos de origen 2026'!$H$574+'Datos de origen 2026'!$H$668</f>
        <v>9.7385364360428088</v>
      </c>
      <c r="H34" s="538">
        <f>'Datos de origen 2026'!$I$522+'Datos de origen 2026'!$I$574+'Datos de origen 2026'!$I$668</f>
        <v>4.339241321993013</v>
      </c>
      <c r="I34" s="539">
        <f>IF(COUNT(C34:H34)=6,SUM(C34:H34),"n.d.")</f>
        <v>43.513974304592551</v>
      </c>
    </row>
    <row r="35" spans="1:9" ht="21.75" customHeight="1">
      <c r="A35" s="537" t="s">
        <v>17</v>
      </c>
      <c r="B35" s="537" t="s">
        <v>90</v>
      </c>
      <c r="C35" s="540">
        <f>'Datos de origen 2026'!$D$752</f>
        <v>1.1082389740000001E-3</v>
      </c>
      <c r="D35" s="540">
        <f>'Datos de origen 2026'!$E$752</f>
        <v>1.9704416415600003E-3</v>
      </c>
      <c r="E35" s="540">
        <f>'Datos de origen 2026'!$F$752</f>
        <v>2.3767460635800001E-3</v>
      </c>
      <c r="F35" s="540">
        <f>'Datos de origen 2026'!$G$752</f>
        <v>3.5023488309600006E-3</v>
      </c>
      <c r="G35" s="540">
        <f>'Datos de origen 2026'!$H$752</f>
        <v>3.1717003432800003E-3</v>
      </c>
      <c r="H35" s="540">
        <f>'Datos de origen 2026'!$I$752</f>
        <v>1.2013694477400001E-3</v>
      </c>
      <c r="I35" s="541">
        <f>IF(COUNT(C35:H35)=6,SUM(C35:H35),"n.d.")</f>
        <v>1.3330845301120003E-2</v>
      </c>
    </row>
    <row r="36" spans="1:9" ht="21.75" customHeight="1">
      <c r="A36" s="537" t="s">
        <v>18</v>
      </c>
      <c r="B36" s="537" t="s">
        <v>90</v>
      </c>
      <c r="C36" s="538">
        <f>'Datos de origen 2026'!$D$753</f>
        <v>78002.132995267311</v>
      </c>
      <c r="D36" s="538">
        <f>'Datos de origen 2026'!$E$753</f>
        <v>88849.305321668508</v>
      </c>
      <c r="E36" s="538">
        <f>'Datos de origen 2026'!$F$753</f>
        <v>83383.297682857752</v>
      </c>
      <c r="F36" s="538">
        <f>'Datos de origen 2026'!$G$753</f>
        <v>110489.83635319267</v>
      </c>
      <c r="G36" s="538">
        <f>'Datos de origen 2026'!$H$753</f>
        <v>106169.21189240928</v>
      </c>
      <c r="H36" s="538">
        <f>'Datos de origen 2026'!$I$753</f>
        <v>132747.51963412506</v>
      </c>
      <c r="I36" s="539">
        <f>IF(COUNT(C36:H36)=6,SUM(C36:H36),"n.d.")</f>
        <v>599641.30387952062</v>
      </c>
    </row>
    <row r="37" spans="1:9" ht="21.75" customHeight="1">
      <c r="A37" s="537"/>
      <c r="B37" s="537"/>
      <c r="C37" s="537"/>
      <c r="D37" s="537"/>
      <c r="E37" s="537"/>
      <c r="F37" s="537"/>
      <c r="G37" s="537"/>
      <c r="H37" s="537"/>
      <c r="I37" s="537"/>
    </row>
    <row r="38" spans="1:9" ht="31.5" customHeight="1">
      <c r="A38" s="609" t="s">
        <v>30</v>
      </c>
      <c r="B38" s="609"/>
      <c r="C38" s="536"/>
      <c r="D38" s="536"/>
      <c r="E38" s="536"/>
      <c r="F38" s="536"/>
      <c r="G38" s="536"/>
      <c r="H38" s="536"/>
      <c r="I38" s="536"/>
    </row>
    <row r="39" spans="1:9" ht="21.75" customHeight="1">
      <c r="A39" s="537" t="s">
        <v>11</v>
      </c>
      <c r="B39" s="537" t="s">
        <v>90</v>
      </c>
      <c r="C39" s="538">
        <f>'Datos de origen 2026'!$D$987</f>
        <v>45.205193731549997</v>
      </c>
      <c r="D39" s="538">
        <f>'Datos de origen 2026'!$E$987</f>
        <v>34.622342649030003</v>
      </c>
      <c r="E39" s="538">
        <f>'Datos de origen 2026'!$F$987</f>
        <v>38.516546232585</v>
      </c>
      <c r="F39" s="538">
        <f>'Datos de origen 2026'!$G$987</f>
        <v>36.263229640900008</v>
      </c>
      <c r="G39" s="538">
        <f>'Datos de origen 2026'!$H$987</f>
        <v>45.401951718767997</v>
      </c>
      <c r="H39" s="538">
        <f>'Datos de origen 2026'!$I$987</f>
        <v>45.887051007935995</v>
      </c>
      <c r="I39" s="539">
        <f>IF(COUNT(C39:H39)=6,SUM(C39:H39),"n.d.")</f>
        <v>245.89631498076898</v>
      </c>
    </row>
    <row r="40" spans="1:9" ht="21.75" customHeight="1">
      <c r="A40" s="537" t="s">
        <v>1451</v>
      </c>
      <c r="B40" s="537" t="s">
        <v>90</v>
      </c>
      <c r="C40" s="538">
        <f>'Datos de origen 2026'!$D$988</f>
        <v>396.24467593150001</v>
      </c>
      <c r="D40" s="538">
        <f>'Datos de origen 2026'!$E$988</f>
        <v>308.07358947345</v>
      </c>
      <c r="E40" s="538">
        <f>'Datos de origen 2026'!$F$988</f>
        <v>344.80900210671007</v>
      </c>
      <c r="F40" s="538">
        <f>'Datos de origen 2026'!$G$988</f>
        <v>320.32936581529998</v>
      </c>
      <c r="G40" s="538">
        <f>'Datos de origen 2026'!$H$988</f>
        <v>405.3876359159039</v>
      </c>
      <c r="H40" s="538">
        <f>'Datos de origen 2026'!$I$988</f>
        <v>413.24933256407991</v>
      </c>
      <c r="I40" s="539">
        <f>IF(COUNT(C40:H40)=6,SUM(C40:H40),"n.d.")</f>
        <v>2188.0936018069442</v>
      </c>
    </row>
    <row r="41" spans="1:9" ht="21.75" customHeight="1">
      <c r="A41" s="537" t="s">
        <v>14</v>
      </c>
      <c r="B41" s="537" t="s">
        <v>90</v>
      </c>
      <c r="C41" s="538">
        <f>'Datos de origen 2026'!$D$989</f>
        <v>539.00604945000009</v>
      </c>
      <c r="D41" s="538">
        <f>'Datos de origen 2026'!$E$989</f>
        <v>422.07665362500006</v>
      </c>
      <c r="E41" s="538">
        <f>'Datos de origen 2026'!$F$989</f>
        <v>435.10324324499999</v>
      </c>
      <c r="F41" s="538">
        <f>'Datos de origen 2026'!$G$989</f>
        <v>476.93718039000004</v>
      </c>
      <c r="G41" s="538">
        <f>'Datos de origen 2026'!$H$989</f>
        <v>543.38345028000003</v>
      </c>
      <c r="H41" s="538">
        <f>'Datos de origen 2026'!$I$989</f>
        <v>564.01372632000005</v>
      </c>
      <c r="I41" s="539">
        <f>IF(COUNT(C41:H41)=6,SUM(C41:H41),"n.d.")</f>
        <v>2980.5203033100001</v>
      </c>
    </row>
    <row r="42" spans="1:9" ht="21.75" customHeight="1">
      <c r="A42" s="537" t="s">
        <v>16</v>
      </c>
      <c r="B42" s="537" t="s">
        <v>90</v>
      </c>
      <c r="C42" s="538">
        <f>'Datos de origen 2026'!$D$990</f>
        <v>4.5451310876500006</v>
      </c>
      <c r="D42" s="538">
        <f>'Datos de origen 2026'!$E$990</f>
        <v>3.3377798194500001</v>
      </c>
      <c r="E42" s="538">
        <f>'Datos de origen 2026'!$F$990</f>
        <v>3.7970409158099998</v>
      </c>
      <c r="F42" s="538">
        <f>'Datos de origen 2026'!$G$990</f>
        <v>3.4604885027300005</v>
      </c>
      <c r="G42" s="538">
        <f>'Datos de origen 2026'!$H$990</f>
        <v>4.3872793072799992</v>
      </c>
      <c r="H42" s="538">
        <f>'Datos de origen 2026'!$I$990</f>
        <v>4.3634203235099998</v>
      </c>
      <c r="I42" s="539">
        <f>IF(COUNT(C42:H42)=6,SUM(C42:H42),"n.d.")</f>
        <v>23.891139956429999</v>
      </c>
    </row>
    <row r="43" spans="1:9" ht="21.75" customHeight="1">
      <c r="A43" s="537" t="s">
        <v>15</v>
      </c>
      <c r="B43" s="537" t="s">
        <v>90</v>
      </c>
      <c r="C43" s="538">
        <f>'Datos de origen 2026'!$D$991</f>
        <v>30.073776444500002</v>
      </c>
      <c r="D43" s="538">
        <f>'Datos de origen 2026'!$E$991</f>
        <v>22.103632168500003</v>
      </c>
      <c r="E43" s="538">
        <f>'Datos de origen 2026'!$F$991</f>
        <v>25.113161319300001</v>
      </c>
      <c r="F43" s="538">
        <f>'Datos de origen 2026'!$G$991</f>
        <v>22.944026404900001</v>
      </c>
      <c r="G43" s="538">
        <f>'Datos de origen 2026'!$H$991</f>
        <v>29.045630330399998</v>
      </c>
      <c r="H43" s="538">
        <f>'Datos de origen 2026'!$I$991</f>
        <v>28.9043307303</v>
      </c>
      <c r="I43" s="539">
        <f>IF(COUNT(C43:H43)=6,SUM(C43:H43),"n.d.")</f>
        <v>158.18455739789999</v>
      </c>
    </row>
    <row r="44" spans="1:9" ht="21.75" customHeight="1">
      <c r="A44" s="537" t="s">
        <v>17</v>
      </c>
      <c r="B44" s="537" t="s">
        <v>90</v>
      </c>
      <c r="C44" s="540">
        <f>'Datos de origen 2026'!$D$992</f>
        <v>1.2784974774999999E-2</v>
      </c>
      <c r="D44" s="540">
        <f>'Datos de origen 2026'!$E$992</f>
        <v>9.7944477645000028E-3</v>
      </c>
      <c r="E44" s="540">
        <f>'Datos de origen 2026'!$F$992</f>
        <v>1.04460022737E-2</v>
      </c>
      <c r="F44" s="540">
        <f>'Datos de origen 2026'!$G$992</f>
        <v>1.0762474277E-2</v>
      </c>
      <c r="G44" s="540">
        <f>'Datos de origen 2026'!$H$992</f>
        <v>1.26978564552E-2</v>
      </c>
      <c r="H44" s="540">
        <f>'Datos de origen 2026'!$I$992</f>
        <v>1.29932503092E-2</v>
      </c>
      <c r="I44" s="541">
        <f>IF(COUNT(C44:H44)=6,SUM(C44:H44),"n.d.")</f>
        <v>6.9479005854599998E-2</v>
      </c>
    </row>
    <row r="45" spans="1:9" ht="21.75" customHeight="1">
      <c r="A45" s="537" t="s">
        <v>18</v>
      </c>
      <c r="B45" s="537" t="s">
        <v>90</v>
      </c>
      <c r="C45" s="538">
        <f>'Datos de origen 2026'!$D$993</f>
        <v>192468.10565813922</v>
      </c>
      <c r="D45" s="538">
        <f>'Datos de origen 2026'!$E$993</f>
        <v>145959.33812524687</v>
      </c>
      <c r="E45" s="538">
        <f>'Datos de origen 2026'!$F$993</f>
        <v>158117.90355814918</v>
      </c>
      <c r="F45" s="538">
        <f>'Datos de origen 2026'!$G$993</f>
        <v>158248.28733855882</v>
      </c>
      <c r="G45" s="538">
        <f>'Datos de origen 2026'!$H$993</f>
        <v>189846.76886327594</v>
      </c>
      <c r="H45" s="538">
        <f>'Datos de origen 2026'!$I$993</f>
        <v>192965.46295860028</v>
      </c>
      <c r="I45" s="539">
        <f>IF(COUNT(C45:H45)=6,SUM(C45:H45),"n.d.")</f>
        <v>1037605.8665019703</v>
      </c>
    </row>
    <row r="46" spans="1:9" ht="21.75" customHeight="1">
      <c r="A46" s="537"/>
      <c r="B46" s="537"/>
      <c r="C46" s="537"/>
      <c r="D46" s="537"/>
      <c r="E46" s="537"/>
      <c r="F46" s="537"/>
      <c r="G46" s="537"/>
      <c r="H46" s="537"/>
      <c r="I46" s="537"/>
    </row>
    <row r="47" spans="1:9" ht="31.5" customHeight="1">
      <c r="A47" s="609" t="s">
        <v>1453</v>
      </c>
      <c r="B47" s="609"/>
      <c r="C47" s="536"/>
      <c r="D47" s="536"/>
      <c r="E47" s="536"/>
      <c r="F47" s="536"/>
      <c r="G47" s="536"/>
      <c r="H47" s="536"/>
      <c r="I47" s="536"/>
    </row>
    <row r="48" spans="1:9" ht="21.75" customHeight="1">
      <c r="A48" s="537" t="s">
        <v>1454</v>
      </c>
      <c r="B48" s="537" t="s">
        <v>88</v>
      </c>
      <c r="C48" s="538">
        <f>'Datos de origen 2026'!$D$1240</f>
        <v>457703</v>
      </c>
      <c r="D48" s="538">
        <f>'Datos de origen 2026'!$E$1240</f>
        <v>163508</v>
      </c>
      <c r="E48" s="538">
        <f>'Datos de origen 2026'!$F$1240</f>
        <v>143254</v>
      </c>
      <c r="F48" s="538">
        <f>'Datos de origen 2026'!$G$1240</f>
        <v>2711027</v>
      </c>
      <c r="G48" s="538">
        <f>'Datos de origen 2026'!$H$1240</f>
        <v>50551</v>
      </c>
      <c r="H48" s="538">
        <f>'Datos de origen 2026'!$I$1240</f>
        <v>0</v>
      </c>
      <c r="I48" s="539">
        <f>IF(COUNT(C48:H48)=6,SUM(C48:H48),"n.d.")</f>
        <v>3526043</v>
      </c>
    </row>
    <row r="49" spans="1:9" ht="21.75" customHeight="1">
      <c r="A49" s="537" t="s">
        <v>1455</v>
      </c>
      <c r="B49" s="537" t="s">
        <v>68</v>
      </c>
      <c r="C49" s="538">
        <f>'Datos de origen 2026'!$D$1241</f>
        <v>0</v>
      </c>
      <c r="D49" s="538">
        <f>'Datos de origen 2026'!$E$1241</f>
        <v>0</v>
      </c>
      <c r="E49" s="538">
        <f>'Datos de origen 2026'!$F$1241</f>
        <v>0</v>
      </c>
      <c r="F49" s="538">
        <f>'Datos de origen 2026'!$G$1241</f>
        <v>0</v>
      </c>
      <c r="G49" s="538">
        <f>'Datos de origen 2026'!$H$1241</f>
        <v>0</v>
      </c>
      <c r="H49" s="538">
        <f>'Datos de origen 2026'!$I$1241</f>
        <v>118033.402</v>
      </c>
      <c r="I49" s="539">
        <f>IF(COUNT(C49:H49)=6,SUM(C49:H49),"n.d.")</f>
        <v>118033.402</v>
      </c>
    </row>
    <row r="50" spans="1:9" ht="21.75" customHeight="1">
      <c r="A50" s="537" t="s">
        <v>1456</v>
      </c>
      <c r="B50" s="537" t="s">
        <v>90</v>
      </c>
      <c r="C50" s="538">
        <f>('Datos de origen 2026'!$D$1277*'Datos de origen 2026'!$D$1278*'Datos de origen 2026'!$D$1279+'Datos de origen 2026'!$D$1241*'Datos de origen 2026'!$D$1281*'Datos de origen 2026'!$D$1282/1000000)/2000</f>
        <v>4.7372260500000006E-2</v>
      </c>
      <c r="D50" s="538">
        <f>('Datos de origen 2026'!$E$1277*'Datos de origen 2026'!$E$1278*'Datos de origen 2026'!$E$1279+'Datos de origen 2026'!$E$1241*'Datos de origen 2026'!$E$1281*'Datos de origen 2026'!$E$1282/1000000)/2000</f>
        <v>1.6923078000000005E-2</v>
      </c>
      <c r="E50" s="538">
        <f>('Datos de origen 2026'!$F$1277*'Datos de origen 2026'!$F$1278*'Datos de origen 2026'!$F$1279+'Datos de origen 2026'!$F$1241*'Datos de origen 2026'!$F$1281*'Datos de origen 2026'!$F$1282/1000000)/2000</f>
        <v>1.4826789000000003E-2</v>
      </c>
      <c r="F50" s="538">
        <f>('Datos de origen 2026'!$G$1277*'Datos de origen 2026'!$G$1278*'Datos de origen 2026'!$G$1279+'Datos de origen 2026'!$G$1241*'Datos de origen 2026'!$G$1281*'Datos de origen 2026'!$G$1282/1000000)/2000</f>
        <v>0.28059129449999998</v>
      </c>
      <c r="G50" s="538">
        <f>('Datos de origen 2026'!$H$1277*'Datos de origen 2026'!$H$1278*'Datos de origen 2026'!$H$1279+'Datos de origen 2026'!$H$1241*'Datos de origen 2026'!$H$1281*'Datos de origen 2026'!$H$1282/1000000)/2000</f>
        <v>5.2320285000000003E-3</v>
      </c>
      <c r="H50" s="538">
        <f>('Datos de origen 2026'!$I$1277*'Datos de origen 2026'!$I$1278*'Datos de origen 2026'!$I$1279+'Datos de origen 2026'!$I$1241*'Datos de origen 2026'!$I$1281*'Datos de origen 2026'!$I$1282/1000000)/2000</f>
        <v>1.6861914571428578E-4</v>
      </c>
      <c r="I50" s="539">
        <f>IF(COUNT(C50:H50)=6,SUM(C50:H50),"n.d.")</f>
        <v>0.3651140696457143</v>
      </c>
    </row>
    <row r="51" spans="1:9" ht="21.75" customHeight="1">
      <c r="A51" s="537" t="s">
        <v>1457</v>
      </c>
      <c r="B51" s="537" t="s">
        <v>90</v>
      </c>
      <c r="C51" s="538">
        <f>('Datos de origen 2026'!$D$1298*'Datos de origen 2026'!$D$1299*'Datos de origen 2026'!$D$1300+'Datos de origen 2026'!$D$1241*'Datos de origen 2026'!$D$1302*'Datos de origen 2026'!$D$1303/1000000)/2000</f>
        <v>5167.050360270001</v>
      </c>
      <c r="D51" s="538">
        <f>('Datos de origen 2026'!$E$1298*'Datos de origen 2026'!$E$1299*'Datos de origen 2026'!$E$1300+'Datos de origen 2026'!$E$1241*'Datos de origen 2026'!$E$1302*'Datos de origen 2026'!$E$1303/1000000)/2000</f>
        <v>1845.8565277200003</v>
      </c>
      <c r="E51" s="538">
        <f>('Datos de origen 2026'!$F$1298*'Datos de origen 2026'!$F$1299*'Datos de origen 2026'!$F$1300+'Datos de origen 2026'!$F$1241*'Datos de origen 2026'!$F$1302*'Datos de origen 2026'!$F$1303/1000000)/2000</f>
        <v>1617.2072988600005</v>
      </c>
      <c r="F51" s="538">
        <f>('Datos de origen 2026'!$G$1298*'Datos de origen 2026'!$G$1299*'Datos de origen 2026'!$G$1300+'Datos de origen 2026'!$G$1241*'Datos de origen 2026'!$G$1302*'Datos de origen 2026'!$G$1303/1000000)/2000</f>
        <v>30605.027795430004</v>
      </c>
      <c r="G51" s="538">
        <f>('Datos de origen 2026'!$H$1298*'Datos de origen 2026'!$H$1299*'Datos de origen 2026'!$H$1300+'Datos de origen 2026'!$H$1241*'Datos de origen 2026'!$H$1302*'Datos de origen 2026'!$H$1303/1000000)/2000</f>
        <v>570.67478859000016</v>
      </c>
      <c r="H51" s="538">
        <f>('Datos de origen 2026'!$I$1298*'Datos de origen 2026'!$I$1299*'Datos de origen 2026'!$I$1300+'Datos de origen 2026'!$I$1241*'Datos de origen 2026'!$I$1302*'Datos de origen 2026'!$I$1303/1000000)/2000</f>
        <v>7.0903495046758689</v>
      </c>
      <c r="I51" s="539">
        <f>IF(COUNT(C51:H51)=6,SUM(C51:H51),"n.d.")</f>
        <v>39812.907120374679</v>
      </c>
    </row>
    <row r="52" spans="1:9" ht="21.75" customHeight="1">
      <c r="A52" s="537" t="s">
        <v>12</v>
      </c>
      <c r="B52" s="537" t="s">
        <v>90</v>
      </c>
      <c r="C52" s="538">
        <f>'Datos de origen 2026'!$D$1306</f>
        <v>31.676695861099994</v>
      </c>
      <c r="D52" s="538">
        <f>'Datos de origen 2026'!$E$1306</f>
        <v>15.9708916022</v>
      </c>
      <c r="E52" s="538">
        <f>'Datos de origen 2026'!$F$1306</f>
        <v>0.37835503770000001</v>
      </c>
      <c r="F52" s="538">
        <f>'Datos de origen 2026'!$G$1306</f>
        <v>25.517368897800001</v>
      </c>
      <c r="G52" s="538">
        <f>'Datos de origen 2026'!$H$1306</f>
        <v>24.008014232499999</v>
      </c>
      <c r="H52" s="538">
        <f>'Datos de origen 2026'!$I$1306</f>
        <v>45.400406636852253</v>
      </c>
      <c r="I52" s="539">
        <f>IF(COUNT(C52:H52)=6,SUM(C52:H52),"n.d.")</f>
        <v>142.95173226815223</v>
      </c>
    </row>
    <row r="53" spans="1:9" ht="21.75" customHeight="1">
      <c r="A53" s="537" t="s">
        <v>34</v>
      </c>
      <c r="B53" s="537" t="s">
        <v>90</v>
      </c>
      <c r="C53" s="538">
        <f>'Datos de origen 2026'!$D$1227</f>
        <v>0.55899267389999996</v>
      </c>
      <c r="D53" s="538">
        <f>'Datos de origen 2026'!$E$1227</f>
        <v>0.19969232040000004</v>
      </c>
      <c r="E53" s="538">
        <f>'Datos de origen 2026'!$F$1227</f>
        <v>0.17495611020000004</v>
      </c>
      <c r="F53" s="538">
        <f>'Datos de origen 2026'!$G$1227</f>
        <v>3.3109772751000004</v>
      </c>
      <c r="G53" s="538">
        <f>'Datos de origen 2026'!$H$1227</f>
        <v>6.1737936300000011E-2</v>
      </c>
      <c r="H53" s="538">
        <f>'Datos de origen 2026'!$I$1227</f>
        <v>6.0551135226000012E-4</v>
      </c>
      <c r="I53" s="539">
        <f>IF(COUNT(C53:H53)=6,SUM(C53:H53),"n.d.")</f>
        <v>4.3069618272522607</v>
      </c>
    </row>
    <row r="54" spans="1:9" ht="21.75" customHeight="1">
      <c r="A54" s="537" t="s">
        <v>1451</v>
      </c>
      <c r="B54" s="537" t="s">
        <v>90</v>
      </c>
      <c r="C54" s="538">
        <f>'Datos de origen 2026'!$D$1307-'Datos de origen 2026'!$D$1283+C50</f>
        <v>305.73349610696999</v>
      </c>
      <c r="D54" s="538">
        <f>'Datos de origen 2026'!$E$1307-'Datos de origen 2026'!$E$1283+D50</f>
        <v>152.36199982959997</v>
      </c>
      <c r="E54" s="538">
        <f>'Datos de origen 2026'!$F$1307-'Datos de origen 2026'!$F$1283+E50</f>
        <v>1.053337153625</v>
      </c>
      <c r="F54" s="538">
        <f>'Datos de origen 2026'!$G$1307-'Datos de origen 2026'!$G$1283+F50</f>
        <v>211.42501517588249</v>
      </c>
      <c r="G54" s="538">
        <f>'Datos de origen 2026'!$H$1307-'Datos de origen 2026'!$H$1283+G50</f>
        <v>230.99729792419498</v>
      </c>
      <c r="H54" s="538">
        <f>'Datos de origen 2026'!$I$1307-'Datos de origen 2026'!$I$1283+H50</f>
        <v>432.63425653674574</v>
      </c>
      <c r="I54" s="539">
        <f>IF(COUNT(C54:H54)=6,SUM(C54:H54),"n.d.")</f>
        <v>1334.2054027270183</v>
      </c>
    </row>
    <row r="55" spans="1:9" ht="21.75" customHeight="1">
      <c r="A55" s="537" t="s">
        <v>14</v>
      </c>
      <c r="B55" s="537" t="s">
        <v>90</v>
      </c>
      <c r="C55" s="538">
        <f>'Datos de origen 2026'!$D$1308</f>
        <v>236.55012622169997</v>
      </c>
      <c r="D55" s="538">
        <f>'Datos de origen 2026'!$E$1308</f>
        <v>120.73761528119999</v>
      </c>
      <c r="E55" s="538">
        <f>'Datos de origen 2026'!$F$1308</f>
        <v>9.8015464506000018</v>
      </c>
      <c r="F55" s="538">
        <f>'Datos de origen 2026'!$G$1308</f>
        <v>242.68820776530004</v>
      </c>
      <c r="G55" s="538">
        <f>'Datos de origen 2026'!$H$1308</f>
        <v>174.6990169689</v>
      </c>
      <c r="H55" s="538">
        <f>'Datos de origen 2026'!$I$1308</f>
        <v>331.62797900487487</v>
      </c>
      <c r="I55" s="539">
        <f>IF(COUNT(C55:H55)=6,SUM(C55:H55),"n.d.")</f>
        <v>1116.1044916925748</v>
      </c>
    </row>
    <row r="56" spans="1:9" ht="21.75" customHeight="1">
      <c r="A56" s="537" t="s">
        <v>16</v>
      </c>
      <c r="B56" s="537" t="s">
        <v>90</v>
      </c>
      <c r="C56" s="538">
        <f>'Datos de origen 2026'!$D$1309</f>
        <v>3.3125255779699998</v>
      </c>
      <c r="D56" s="538">
        <f>'Datos de origen 2026'!$E$1309</f>
        <v>1.68498756076</v>
      </c>
      <c r="E56" s="538">
        <f>'Datos de origen 2026'!$F$1309</f>
        <v>8.3611644100000021E-2</v>
      </c>
      <c r="F56" s="538">
        <f>'Datos de origen 2026'!$G$1309</f>
        <v>3.4481234252100004</v>
      </c>
      <c r="G56" s="538">
        <f>'Datos de origen 2026'!$H$1309</f>
        <v>2.43743867356</v>
      </c>
      <c r="H56" s="538">
        <f>'Datos de origen 2026'!$I$1309</f>
        <v>4.6642847253553308</v>
      </c>
      <c r="I56" s="539">
        <f>IF(COUNT(C56:H56)=6,SUM(C56:H56),"n.d.")</f>
        <v>15.630971606955331</v>
      </c>
    </row>
    <row r="57" spans="1:9" ht="21.75" customHeight="1">
      <c r="A57" s="537" t="s">
        <v>15</v>
      </c>
      <c r="B57" s="537" t="s">
        <v>90</v>
      </c>
      <c r="C57" s="538">
        <f>'Datos de origen 2026'!$D$1310</f>
        <v>21.409240715199999</v>
      </c>
      <c r="D57" s="538">
        <f>'Datos de origen 2026'!$E$1310</f>
        <v>10.9487948864</v>
      </c>
      <c r="E57" s="538">
        <f>'Datos de origen 2026'!$F$1310</f>
        <v>0.4324586768</v>
      </c>
      <c r="F57" s="538">
        <f>'Datos de origen 2026'!$G$1310</f>
        <v>20.414510179200001</v>
      </c>
      <c r="G57" s="538">
        <f>'Datos de origen 2026'!$H$1310</f>
        <v>16.004466177499999</v>
      </c>
      <c r="H57" s="538">
        <f>'Datos de origen 2026'!$I$1310</f>
        <v>30.707195988212401</v>
      </c>
      <c r="I57" s="539">
        <f>IF(COUNT(C57:H57)=6,SUM(C57:H57),"n.d.")</f>
        <v>99.916666623312409</v>
      </c>
    </row>
    <row r="58" spans="1:9" ht="21.75" customHeight="1">
      <c r="A58" s="537" t="s">
        <v>36</v>
      </c>
      <c r="B58" s="537" t="s">
        <v>90</v>
      </c>
      <c r="C58" s="538">
        <f>'Datos de origen 2026'!$D$1233</f>
        <v>7.2538773890625007E-3</v>
      </c>
      <c r="D58" s="538">
        <f>'Datos de origen 2026'!$E$1233</f>
        <v>2.5913463187500008E-3</v>
      </c>
      <c r="E58" s="538">
        <f>'Datos de origen 2026'!$F$1233</f>
        <v>2.2703520656250004E-3</v>
      </c>
      <c r="F58" s="538">
        <f>'Datos de origen 2026'!$G$1233</f>
        <v>4.2965541970312507E-2</v>
      </c>
      <c r="G58" s="538">
        <f>'Datos de origen 2026'!$H$1233</f>
        <v>8.0115436406250008E-4</v>
      </c>
      <c r="H58" s="538">
        <f>'Datos de origen 2026'!$I$1233</f>
        <v>2.581980668750001E-5</v>
      </c>
      <c r="I58" s="539">
        <f>IF(COUNT(C58:H58)=6,SUM(C58:H58),"n.d.")</f>
        <v>5.5908091914500004E-2</v>
      </c>
    </row>
    <row r="59" spans="1:9" ht="21.75" customHeight="1">
      <c r="A59" s="537" t="s">
        <v>17</v>
      </c>
      <c r="B59" s="537" t="s">
        <v>90</v>
      </c>
      <c r="C59" s="540">
        <f>'Datos de origen 2026'!$D$1311</f>
        <v>6.7586594660000001E-3</v>
      </c>
      <c r="D59" s="540">
        <f>'Datos de origen 2026'!$E$1311</f>
        <v>3.4202622220000003E-3</v>
      </c>
      <c r="E59" s="540">
        <f>'Datos de origen 2026'!$F$1311</f>
        <v>2.7565489900000005E-4</v>
      </c>
      <c r="F59" s="540">
        <f>'Datos de origen 2026'!$G$1311</f>
        <v>7.9470540660000009E-3</v>
      </c>
      <c r="G59" s="540">
        <f>'Datos de origen 2026'!$H$1311</f>
        <v>5.1044123500000003E-3</v>
      </c>
      <c r="H59" s="540">
        <f>'Datos de origen 2026'!$I$1311</f>
        <v>9.6967401340000009E-3</v>
      </c>
      <c r="I59" s="541">
        <f>IF(COUNT(C59:H59)=6,SUM(C59:H59),"n.d.")</f>
        <v>3.3202783137000008E-2</v>
      </c>
    </row>
    <row r="60" spans="1:9" ht="21.75" customHeight="1">
      <c r="A60" s="537" t="s">
        <v>18</v>
      </c>
      <c r="B60" s="537" t="s">
        <v>90</v>
      </c>
      <c r="C60" s="538">
        <f>'Datos de origen 2026'!$D$1312-'Datos de origen 2026'!$D$1304+C51</f>
        <v>107317.54933949914</v>
      </c>
      <c r="D60" s="538">
        <f>'Datos de origen 2026'!$E$1312-'Datos de origen 2026'!$E$1304+D51</f>
        <v>54700.106545063754</v>
      </c>
      <c r="E60" s="538">
        <f>'Datos de origen 2026'!$F$1312-'Datos de origen 2026'!$F$1304+E51</f>
        <v>3313.2802888788792</v>
      </c>
      <c r="F60" s="538">
        <f>'Datos de origen 2026'!$G$1312-'Datos de origen 2026'!$G$1304+F51</f>
        <v>112038.68887471894</v>
      </c>
      <c r="G60" s="538">
        <f>'Datos de origen 2026'!$H$1312-'Datos de origen 2026'!$H$1304+G51</f>
        <v>81752.398032989149</v>
      </c>
      <c r="H60" s="538">
        <f>'Datos de origen 2026'!$I$1312-'Datos de origen 2026'!$I$1304+H51</f>
        <v>156069.30312111002</v>
      </c>
      <c r="I60" s="539">
        <f>IF(COUNT(C60:H60)=6,SUM(C60:H60),"n.d.")</f>
        <v>515191.32620225981</v>
      </c>
    </row>
    <row r="61" spans="1:9" ht="21.75" customHeight="1">
      <c r="A61" s="537"/>
      <c r="B61" s="537"/>
      <c r="C61" s="537"/>
      <c r="D61" s="537"/>
      <c r="E61" s="537"/>
      <c r="F61" s="537"/>
      <c r="G61" s="537"/>
      <c r="H61" s="537"/>
      <c r="I61" s="537"/>
    </row>
    <row r="62" spans="1:9" ht="31.5" customHeight="1">
      <c r="A62" s="609" t="s">
        <v>38</v>
      </c>
      <c r="B62" s="609"/>
      <c r="C62" s="536"/>
      <c r="D62" s="536"/>
      <c r="E62" s="536"/>
      <c r="F62" s="536"/>
      <c r="G62" s="536"/>
      <c r="H62" s="536"/>
      <c r="I62" s="536"/>
    </row>
    <row r="63" spans="1:9" ht="21.75" customHeight="1">
      <c r="A63" s="537" t="s">
        <v>12</v>
      </c>
      <c r="B63" s="537" t="s">
        <v>90</v>
      </c>
      <c r="C63" s="538">
        <f>'Datos de origen 2026'!$D$1788</f>
        <v>0.45900000000000002</v>
      </c>
      <c r="D63" s="538">
        <f>'Datos de origen 2026'!$E$1788</f>
        <v>0.86699999999999999</v>
      </c>
      <c r="E63" s="538">
        <f>'Datos de origen 2026'!$F$1788</f>
        <v>2.4224999999999999</v>
      </c>
      <c r="F63" s="538">
        <f>'Datos de origen 2026'!$G$2284</f>
        <v>6.3239999999999998</v>
      </c>
      <c r="G63" s="538">
        <f>'Datos de origen 2026'!$H$2284</f>
        <v>4.8959999999999999</v>
      </c>
      <c r="H63" s="538">
        <f>'Datos de origen 2026'!$I$1788</f>
        <v>5.1255000000000006</v>
      </c>
      <c r="I63" s="539">
        <f>IF(COUNT(C63:H63)=6,SUM(C63:H63),"n.d.")</f>
        <v>20.094000000000001</v>
      </c>
    </row>
    <row r="64" spans="1:9" ht="21.75" customHeight="1">
      <c r="A64" s="537" t="s">
        <v>1451</v>
      </c>
      <c r="B64" s="537" t="s">
        <v>90</v>
      </c>
      <c r="C64" s="538">
        <f>'Datos de origen 2026'!$D$1789</f>
        <v>1.2330000000000001</v>
      </c>
      <c r="D64" s="538">
        <f>'Datos de origen 2026'!$E$1789</f>
        <v>2.3290000000000002</v>
      </c>
      <c r="E64" s="538">
        <f>'Datos de origen 2026'!$F$1789</f>
        <v>6.5075000000000003</v>
      </c>
      <c r="F64" s="538">
        <f>'Datos de origen 2026'!$G$2285</f>
        <v>16.988</v>
      </c>
      <c r="G64" s="538">
        <f>'Datos de origen 2026'!$H$2285</f>
        <v>13.151999999999999</v>
      </c>
      <c r="H64" s="538">
        <f>'Datos de origen 2026'!$I$1789</f>
        <v>13.7685</v>
      </c>
      <c r="I64" s="539">
        <f>IF(COUNT(C64:H64)=6,SUM(C64:H64),"n.d.")</f>
        <v>53.977999999999994</v>
      </c>
    </row>
    <row r="65" spans="1:9" ht="21.75" customHeight="1">
      <c r="A65" s="537" t="s">
        <v>14</v>
      </c>
      <c r="B65" s="537" t="s">
        <v>90</v>
      </c>
      <c r="C65" s="538">
        <f>'Datos de origen 2026'!$D$1790</f>
        <v>2.43405</v>
      </c>
      <c r="D65" s="538">
        <f>'Datos de origen 2026'!$E$1790</f>
        <v>3.3974499999999996</v>
      </c>
      <c r="E65" s="538">
        <f>'Datos de origen 2026'!$F$1790</f>
        <v>9.5057999999999989</v>
      </c>
      <c r="F65" s="538">
        <f>'Datos de origen 2026'!$G$2286</f>
        <v>14.7476</v>
      </c>
      <c r="G65" s="538">
        <f>'Datos de origen 2026'!$H$2286</f>
        <v>14.131550000000001</v>
      </c>
      <c r="H65" s="538">
        <f>'Datos de origen 2026'!$I$1790</f>
        <v>12.42535</v>
      </c>
      <c r="I65" s="539">
        <f>IF(COUNT(C65:H65)=6,SUM(C65:H65),"n.d.")</f>
        <v>56.641799999999996</v>
      </c>
    </row>
    <row r="66" spans="1:9" ht="21.75" customHeight="1">
      <c r="A66" s="537" t="s">
        <v>16</v>
      </c>
      <c r="B66" s="537" t="s">
        <v>90</v>
      </c>
      <c r="C66" s="538">
        <f>'Datos de origen 2026'!$D$1791</f>
        <v>0.105</v>
      </c>
      <c r="D66" s="538">
        <f>'Datos de origen 2026'!$E$1791</f>
        <v>0.20699999999999999</v>
      </c>
      <c r="E66" s="538">
        <f>'Datos de origen 2026'!$F$1791</f>
        <v>0.58850000000000002</v>
      </c>
      <c r="F66" s="538">
        <f>'Datos de origen 2026'!$G$2287</f>
        <v>1.4689999999999999</v>
      </c>
      <c r="G66" s="538">
        <f>'Datos de origen 2026'!$H$2287</f>
        <v>1.1419999999999999</v>
      </c>
      <c r="H66" s="538">
        <f>'Datos de origen 2026'!$I$1791</f>
        <v>1.2484999999999999</v>
      </c>
      <c r="I66" s="539">
        <f>IF(COUNT(C66:H66)=6,SUM(C66:H66),"n.d.")</f>
        <v>4.76</v>
      </c>
    </row>
    <row r="67" spans="1:9" ht="21.75" customHeight="1">
      <c r="A67" s="537" t="s">
        <v>15</v>
      </c>
      <c r="B67" s="537" t="s">
        <v>90</v>
      </c>
      <c r="C67" s="538">
        <f>'Datos de origen 2026'!$D$1792</f>
        <v>0.64900000000000002</v>
      </c>
      <c r="D67" s="538">
        <f>'Datos de origen 2026'!$E$1792</f>
        <v>0.71799999999999997</v>
      </c>
      <c r="E67" s="538">
        <f>'Datos de origen 2026'!$F$1792</f>
        <v>2.2025000000000001</v>
      </c>
      <c r="F67" s="538">
        <f>'Datos de origen 2026'!$G$2288</f>
        <v>3.37</v>
      </c>
      <c r="G67" s="538">
        <f>'Datos de origen 2026'!$H$2288</f>
        <v>3.6739999999999999</v>
      </c>
      <c r="H67" s="538">
        <f>'Datos de origen 2026'!$I$1792</f>
        <v>2.4855</v>
      </c>
      <c r="I67" s="539">
        <f>IF(COUNT(C67:H67)=6,SUM(C67:H67),"n.d.")</f>
        <v>13.099</v>
      </c>
    </row>
    <row r="68" spans="1:9" ht="21.75" customHeight="1">
      <c r="A68" s="537" t="s">
        <v>17</v>
      </c>
      <c r="B68" s="537" t="s">
        <v>90</v>
      </c>
      <c r="C68" s="540">
        <f>'Datos de origen 2026'!$D$1793</f>
        <v>1.65E-4</v>
      </c>
      <c r="D68" s="540">
        <f>'Datos de origen 2026'!$E$1793</f>
        <v>3.4199999999999996E-4</v>
      </c>
      <c r="E68" s="540">
        <f>'Datos de origen 2026'!$F$1793</f>
        <v>9.9099999999999991E-4</v>
      </c>
      <c r="F68" s="540">
        <f>'Datos de origen 2026'!$G$2289</f>
        <v>2.3515000000000003E-3</v>
      </c>
      <c r="G68" s="540">
        <f>'Datos de origen 2026'!$H$2289</f>
        <v>1.8370000000000001E-3</v>
      </c>
      <c r="H68" s="540">
        <f>'Datos de origen 2026'!$I$1793</f>
        <v>2.1085000000000001E-3</v>
      </c>
      <c r="I68" s="541">
        <f>IF(COUNT(C68:H68)=6,SUM(C68:H68),"n.d.")</f>
        <v>7.7950000000000007E-3</v>
      </c>
    </row>
    <row r="69" spans="1:9" ht="21.75" customHeight="1">
      <c r="A69" s="537" t="s">
        <v>18</v>
      </c>
      <c r="B69" s="537" t="s">
        <v>90</v>
      </c>
      <c r="C69" s="538">
        <f>'Datos de origen 2026'!$D$1794</f>
        <v>1691.2027274300769</v>
      </c>
      <c r="D69" s="538">
        <f>'Datos de origen 2026'!$E$1794</f>
        <v>2764.8793020000003</v>
      </c>
      <c r="E69" s="538">
        <f>'Datos de origen 2026'!$F$1794</f>
        <v>8825.051571</v>
      </c>
      <c r="F69" s="538">
        <f>'Datos de origen 2026'!$G$2290</f>
        <v>17324.55096</v>
      </c>
      <c r="G69" s="538">
        <f>'Datos de origen 2026'!$H$2290</f>
        <v>14868.606432</v>
      </c>
      <c r="H69" s="538">
        <f>'Datos de origen 2026'!$I$1794</f>
        <v>14396.500452</v>
      </c>
      <c r="I69" s="539">
        <f>IF(COUNT(C69:H69)=6,SUM(C69:H69),"n.d.")</f>
        <v>59870.791444430077</v>
      </c>
    </row>
    <row r="70" spans="1:9" ht="21.75" customHeight="1">
      <c r="A70" s="537"/>
      <c r="B70" s="537"/>
      <c r="C70" s="537"/>
      <c r="D70" s="537"/>
      <c r="E70" s="537"/>
      <c r="F70" s="537"/>
      <c r="G70" s="537"/>
      <c r="H70" s="537"/>
      <c r="I70" s="537"/>
    </row>
    <row r="71" spans="1:9" ht="31.5" customHeight="1">
      <c r="A71" s="609" t="s">
        <v>1458</v>
      </c>
      <c r="B71" s="609"/>
      <c r="C71" s="536"/>
      <c r="D71" s="536"/>
      <c r="E71" s="536"/>
      <c r="F71" s="536"/>
      <c r="G71" s="536"/>
      <c r="H71" s="536"/>
      <c r="I71" s="536"/>
    </row>
    <row r="72" spans="1:9" ht="21.75" customHeight="1">
      <c r="A72" s="537" t="s">
        <v>11</v>
      </c>
      <c r="B72" s="537" t="s">
        <v>90</v>
      </c>
      <c r="C72" s="538">
        <f>'Datos de origen 2026'!$D$1870</f>
        <v>0</v>
      </c>
      <c r="D72" s="538">
        <f>'Datos de origen 2026'!$E$1870</f>
        <v>0</v>
      </c>
      <c r="E72" s="538">
        <f>'Datos de origen 2026'!$F$1870</f>
        <v>2.6745228000000003E-2</v>
      </c>
      <c r="F72" s="538">
        <f>'Datos de origen 2026'!$G$1870</f>
        <v>0.13251063600000001</v>
      </c>
      <c r="G72" s="538">
        <f>'Datos de origen 2026'!$H$1870</f>
        <v>0.31959392400000008</v>
      </c>
      <c r="H72" s="538">
        <f>'Datos de origen 2026'!$I$1870</f>
        <v>0.40692970800000006</v>
      </c>
      <c r="I72" s="539">
        <f>IF(COUNT(C72:H72)=6,SUM(C72:H72),"n.d.")</f>
        <v>0.88577949600000017</v>
      </c>
    </row>
    <row r="73" spans="1:9" ht="21.75" customHeight="1">
      <c r="A73" s="537" t="s">
        <v>1451</v>
      </c>
      <c r="B73" s="537" t="s">
        <v>90</v>
      </c>
      <c r="C73" s="538">
        <f>'Datos de origen 2026'!$D$1871</f>
        <v>0</v>
      </c>
      <c r="D73" s="538">
        <f>'Datos de origen 2026'!$E$1871</f>
        <v>0</v>
      </c>
      <c r="E73" s="538">
        <f>'Datos de origen 2026'!$F$1871</f>
        <v>2.2510566900000001E-2</v>
      </c>
      <c r="F73" s="538">
        <f>'Datos de origen 2026'!$G$1871</f>
        <v>0.11152978530000002</v>
      </c>
      <c r="G73" s="538">
        <f>'Datos de origen 2026'!$H$1871</f>
        <v>0.26899155270000003</v>
      </c>
      <c r="H73" s="538">
        <f>'Datos de origen 2026'!$I$1871</f>
        <v>0.34249917090000004</v>
      </c>
      <c r="I73" s="539">
        <f>IF(COUNT(C73:H73)=6,SUM(C73:H73),"n.d.")</f>
        <v>0.74553107580000011</v>
      </c>
    </row>
    <row r="74" spans="1:9" ht="21.75" customHeight="1">
      <c r="A74" s="537" t="s">
        <v>14</v>
      </c>
      <c r="B74" s="537" t="s">
        <v>90</v>
      </c>
      <c r="C74" s="538">
        <f>'Datos de origen 2026'!$D$1872</f>
        <v>0</v>
      </c>
      <c r="D74" s="538">
        <f>'Datos de origen 2026'!$E$1872</f>
        <v>0</v>
      </c>
      <c r="E74" s="538">
        <f>'Datos de origen 2026'!$F$1872</f>
        <v>1.9613167200000003</v>
      </c>
      <c r="F74" s="538">
        <f>'Datos de origen 2026'!$G$1872</f>
        <v>9.7174466400000021</v>
      </c>
      <c r="G74" s="538">
        <f>'Datos de origen 2026'!$H$1872</f>
        <v>23.436887760000005</v>
      </c>
      <c r="H74" s="538">
        <f>'Datos de origen 2026'!$I$1872</f>
        <v>29.841511920000002</v>
      </c>
      <c r="I74" s="539">
        <f>IF(COUNT(C74:H74)=6,SUM(C74:H74),"n.d.")</f>
        <v>64.957163040000012</v>
      </c>
    </row>
    <row r="75" spans="1:9" ht="21.75" customHeight="1">
      <c r="A75" s="537" t="s">
        <v>16</v>
      </c>
      <c r="B75" s="537" t="s">
        <v>90</v>
      </c>
      <c r="C75" s="538">
        <f>'Datos de origen 2026'!$D$1873</f>
        <v>0</v>
      </c>
      <c r="D75" s="538">
        <f>'Datos de origen 2026'!$E$1873</f>
        <v>0</v>
      </c>
      <c r="E75" s="538">
        <f>'Datos de origen 2026'!$F$1873</f>
        <v>9.1379529000000005E-4</v>
      </c>
      <c r="F75" s="538">
        <f>'Datos de origen 2026'!$G$1873</f>
        <v>4.5274467300000006E-3</v>
      </c>
      <c r="G75" s="538">
        <f>'Datos de origen 2026'!$H$1873</f>
        <v>1.091945907E-2</v>
      </c>
      <c r="H75" s="538">
        <f>'Datos de origen 2026'!$I$1873</f>
        <v>1.3903431689999999E-2</v>
      </c>
      <c r="I75" s="539">
        <f>IF(COUNT(C75:H75)=6,SUM(C75:H75),"n.d.")</f>
        <v>3.0264132779999998E-2</v>
      </c>
    </row>
    <row r="76" spans="1:9" ht="21.75" customHeight="1">
      <c r="A76" s="537" t="s">
        <v>15</v>
      </c>
      <c r="B76" s="537" t="s">
        <v>90</v>
      </c>
      <c r="C76" s="538">
        <f>'Datos de origen 2026'!$D$1874</f>
        <v>0</v>
      </c>
      <c r="D76" s="538">
        <f>'Datos de origen 2026'!$E$1874</f>
        <v>0</v>
      </c>
      <c r="E76" s="538">
        <f>'Datos de origen 2026'!$F$1874</f>
        <v>7.3549377000000004E-3</v>
      </c>
      <c r="F76" s="538">
        <f>'Datos de origen 2026'!$G$1874</f>
        <v>3.6440424900000004E-2</v>
      </c>
      <c r="G76" s="538">
        <f>'Datos de origen 2026'!$H$1874</f>
        <v>8.7888329100000009E-2</v>
      </c>
      <c r="H76" s="538">
        <f>'Datos de origen 2026'!$I$1874</f>
        <v>0.11190566970000002</v>
      </c>
      <c r="I76" s="539">
        <f>IF(COUNT(C76:H76)=6,SUM(C76:H76),"n.d.")</f>
        <v>0.24358936140000004</v>
      </c>
    </row>
    <row r="77" spans="1:9" ht="21.75" customHeight="1">
      <c r="A77" s="537" t="s">
        <v>17</v>
      </c>
      <c r="B77" s="537" t="s">
        <v>90</v>
      </c>
      <c r="C77" s="540">
        <f>'Datos de origen 2026'!$D$1875</f>
        <v>0</v>
      </c>
      <c r="D77" s="540">
        <f>'Datos de origen 2026'!$E$1875</f>
        <v>0</v>
      </c>
      <c r="E77" s="540">
        <f>'Datos de origen 2026'!$F$1875</f>
        <v>3.1202766000000006E-5</v>
      </c>
      <c r="F77" s="540">
        <f>'Datos de origen 2026'!$G$1875</f>
        <v>1.5459574200000001E-4</v>
      </c>
      <c r="G77" s="540">
        <f>'Datos de origen 2026'!$H$1875</f>
        <v>3.7285957800000004E-4</v>
      </c>
      <c r="H77" s="540">
        <f>'Datos de origen 2026'!$I$1875</f>
        <v>4.7475132600000003E-4</v>
      </c>
      <c r="I77" s="541">
        <f>IF(COUNT(C77:H77)=6,SUM(C77:H77),"n.d.")</f>
        <v>1.033409412E-3</v>
      </c>
    </row>
    <row r="78" spans="1:9" ht="21.75" customHeight="1">
      <c r="A78" s="537" t="s">
        <v>18</v>
      </c>
      <c r="B78" s="537" t="s">
        <v>90</v>
      </c>
      <c r="C78" s="538">
        <f>'Datos de origen 2026'!$D$1876</f>
        <v>0</v>
      </c>
      <c r="D78" s="538">
        <f>'Datos de origen 2026'!$E$1876</f>
        <v>0</v>
      </c>
      <c r="E78" s="538">
        <f>'Datos de origen 2026'!$F$1876</f>
        <v>364.65278190417609</v>
      </c>
      <c r="F78" s="538">
        <f>'Datos de origen 2026'!$G$1876</f>
        <v>1806.6913488003047</v>
      </c>
      <c r="G78" s="538">
        <f>'Datos de origen 2026'!$H$1876</f>
        <v>4357.4432592712183</v>
      </c>
      <c r="H78" s="538">
        <f>'Datos de origen 2026'!$I$1876</f>
        <v>5548.2065833072757</v>
      </c>
      <c r="I78" s="539">
        <f>IF(COUNT(C78:H78)=6,SUM(C78:H78),"n.d.")</f>
        <v>12076.993973282975</v>
      </c>
    </row>
    <row r="79" spans="1:9" ht="21.75" customHeight="1">
      <c r="A79" s="537"/>
      <c r="B79" s="537"/>
      <c r="C79" s="537"/>
      <c r="D79" s="537"/>
      <c r="E79" s="537"/>
      <c r="F79" s="537"/>
      <c r="G79" s="537"/>
      <c r="H79" s="537"/>
      <c r="I79" s="537"/>
    </row>
    <row r="80" spans="1:9" ht="31.5" customHeight="1">
      <c r="A80" s="609" t="s">
        <v>43</v>
      </c>
      <c r="B80" s="609"/>
      <c r="C80" s="536"/>
      <c r="D80" s="536"/>
      <c r="E80" s="536"/>
      <c r="F80" s="536"/>
      <c r="G80" s="536"/>
      <c r="H80" s="536"/>
      <c r="I80" s="536"/>
    </row>
    <row r="81" spans="1:9" ht="21.75" customHeight="1">
      <c r="A81" s="537" t="s">
        <v>11</v>
      </c>
      <c r="B81" s="537" t="s">
        <v>90</v>
      </c>
      <c r="C81" s="538">
        <f>'Datos de origen 2026'!$D$1954</f>
        <v>9.9003132000000008E-2</v>
      </c>
      <c r="D81" s="538">
        <f>'Datos de origen 2026'!$E$1954</f>
        <v>0</v>
      </c>
      <c r="E81" s="538">
        <f>'Datos de origen 2026'!$F$1954</f>
        <v>0</v>
      </c>
      <c r="F81" s="538">
        <f>'Datos de origen 2026'!$G$1954</f>
        <v>0</v>
      </c>
      <c r="G81" s="538">
        <f>'Datos de origen 2026'!$H$1954</f>
        <v>0</v>
      </c>
      <c r="H81" s="538">
        <f>'Datos de origen 2026'!$I$1954</f>
        <v>0</v>
      </c>
      <c r="I81" s="539">
        <f>IF(COUNT(C81:H81)=6,SUM(C81:H81),"n.d.")</f>
        <v>9.9003132000000008E-2</v>
      </c>
    </row>
    <row r="82" spans="1:9" ht="21.75" customHeight="1">
      <c r="A82" s="537" t="s">
        <v>1451</v>
      </c>
      <c r="B82" s="537" t="s">
        <v>90</v>
      </c>
      <c r="C82" s="538">
        <f>'Datos de origen 2026'!$D$1955</f>
        <v>8.3327636100000019E-3</v>
      </c>
      <c r="D82" s="538">
        <f>'Datos de origen 2026'!$E$1955</f>
        <v>0</v>
      </c>
      <c r="E82" s="538">
        <f>'Datos de origen 2026'!$F$1955</f>
        <v>0</v>
      </c>
      <c r="F82" s="538">
        <f>'Datos de origen 2026'!$G$1955</f>
        <v>0</v>
      </c>
      <c r="G82" s="538">
        <f>'Datos de origen 2026'!$H$1955</f>
        <v>0</v>
      </c>
      <c r="H82" s="538">
        <f>'Datos de origen 2026'!$I$1955</f>
        <v>0</v>
      </c>
      <c r="I82" s="539">
        <f>IF(COUNT(C82:H82)=6,SUM(C82:H82),"n.d.")</f>
        <v>8.3327636100000019E-3</v>
      </c>
    </row>
    <row r="83" spans="1:9" ht="21.75" customHeight="1">
      <c r="A83" s="537" t="s">
        <v>14</v>
      </c>
      <c r="B83" s="537" t="s">
        <v>90</v>
      </c>
      <c r="C83" s="538">
        <f>'Datos de origen 2026'!$D$1956</f>
        <v>7.2602296800000001</v>
      </c>
      <c r="D83" s="538">
        <f>'Datos de origen 2026'!$E$1956</f>
        <v>0</v>
      </c>
      <c r="E83" s="538">
        <f>'Datos de origen 2026'!$F$1956</f>
        <v>0</v>
      </c>
      <c r="F83" s="538">
        <f>'Datos de origen 2026'!$G$1956</f>
        <v>0</v>
      </c>
      <c r="G83" s="538">
        <f>'Datos de origen 2026'!$H$1956</f>
        <v>0</v>
      </c>
      <c r="H83" s="538">
        <f>'Datos de origen 2026'!$I$1956</f>
        <v>0</v>
      </c>
      <c r="I83" s="539">
        <f>IF(COUNT(C83:H83)=6,SUM(C83:H83),"n.d.")</f>
        <v>7.2602296800000001</v>
      </c>
    </row>
    <row r="84" spans="1:9" ht="21.75" customHeight="1">
      <c r="A84" s="537" t="s">
        <v>16</v>
      </c>
      <c r="B84" s="537" t="s">
        <v>90</v>
      </c>
      <c r="C84" s="538">
        <f>'Datos de origen 2026'!$D$1957</f>
        <v>3.3826070100000001E-3</v>
      </c>
      <c r="D84" s="538">
        <f>'Datos de origen 2026'!$E$1957</f>
        <v>0</v>
      </c>
      <c r="E84" s="538">
        <f>'Datos de origen 2026'!$F$1957</f>
        <v>0</v>
      </c>
      <c r="F84" s="538">
        <f>'Datos de origen 2026'!$G$1957</f>
        <v>0</v>
      </c>
      <c r="G84" s="538">
        <f>'Datos de origen 2026'!$H$1957</f>
        <v>0</v>
      </c>
      <c r="H84" s="538">
        <f>'Datos de origen 2026'!$I$1957</f>
        <v>0</v>
      </c>
      <c r="I84" s="539">
        <f>IF(COUNT(C84:H84)=6,SUM(C84:H84),"n.d.")</f>
        <v>3.3826070100000001E-3</v>
      </c>
    </row>
    <row r="85" spans="1:9" ht="21.75" customHeight="1">
      <c r="A85" s="537" t="s">
        <v>15</v>
      </c>
      <c r="B85" s="537" t="s">
        <v>90</v>
      </c>
      <c r="C85" s="538">
        <f>'Datos de origen 2026'!$D$1958</f>
        <v>2.7225861300000001E-2</v>
      </c>
      <c r="D85" s="538">
        <f>'Datos de origen 2026'!$E$1958</f>
        <v>0</v>
      </c>
      <c r="E85" s="538">
        <f>'Datos de origen 2026'!$F$1958</f>
        <v>0</v>
      </c>
      <c r="F85" s="538">
        <f>'Datos de origen 2026'!$G$1958</f>
        <v>0</v>
      </c>
      <c r="G85" s="538">
        <f>'Datos de origen 2026'!$H$1958</f>
        <v>0</v>
      </c>
      <c r="H85" s="538">
        <f>'Datos de origen 2026'!$I$1958</f>
        <v>0</v>
      </c>
      <c r="I85" s="539">
        <f>IF(COUNT(C85:H85)=6,SUM(C85:H85),"n.d.")</f>
        <v>2.7225861300000001E-2</v>
      </c>
    </row>
    <row r="86" spans="1:9" ht="21.75" customHeight="1">
      <c r="A86" s="537" t="s">
        <v>17</v>
      </c>
      <c r="B86" s="537" t="s">
        <v>90</v>
      </c>
      <c r="C86" s="540">
        <f>'Datos de origen 2026'!$D$1959</f>
        <v>1.1550365400000001E-4</v>
      </c>
      <c r="D86" s="540">
        <f>'Datos de origen 2026'!$E$1959</f>
        <v>0</v>
      </c>
      <c r="E86" s="540">
        <f>'Datos de origen 2026'!$F$1959</f>
        <v>0</v>
      </c>
      <c r="F86" s="540">
        <f>'Datos de origen 2026'!$G$1959</f>
        <v>0</v>
      </c>
      <c r="G86" s="540">
        <f>'Datos de origen 2026'!$H$1959</f>
        <v>0</v>
      </c>
      <c r="H86" s="540">
        <f>'Datos de origen 2026'!$I$1959</f>
        <v>0</v>
      </c>
      <c r="I86" s="541">
        <f>IF(COUNT(C86:H86)=6,SUM(C86:H86),"n.d.")</f>
        <v>1.1550365400000001E-4</v>
      </c>
    </row>
    <row r="87" spans="1:9" ht="21.75" customHeight="1">
      <c r="A87" s="537" t="s">
        <v>18</v>
      </c>
      <c r="B87" s="537" t="s">
        <v>90</v>
      </c>
      <c r="C87" s="538">
        <f>'Datos de origen 2026'!$D$1960</f>
        <v>1349.8395863750484</v>
      </c>
      <c r="D87" s="538">
        <f>'Datos de origen 2026'!$E$1960</f>
        <v>0</v>
      </c>
      <c r="E87" s="538">
        <f>'Datos de origen 2026'!$F$1960</f>
        <v>0</v>
      </c>
      <c r="F87" s="538">
        <f>'Datos de origen 2026'!$G$1960</f>
        <v>0</v>
      </c>
      <c r="G87" s="538">
        <f>'Datos de origen 2026'!$H$1960</f>
        <v>0</v>
      </c>
      <c r="H87" s="538">
        <f>'Datos de origen 2026'!$I$1960</f>
        <v>0</v>
      </c>
      <c r="I87" s="539">
        <f>IF(COUNT(C87:H87)=6,SUM(C87:H87),"n.d.")</f>
        <v>1349.8395863750484</v>
      </c>
    </row>
    <row r="88" spans="1:9" ht="21.75" customHeight="1">
      <c r="A88" s="537"/>
      <c r="B88" s="537"/>
      <c r="C88" s="537"/>
      <c r="D88" s="537"/>
      <c r="E88" s="537"/>
      <c r="F88" s="537"/>
      <c r="G88" s="537"/>
      <c r="H88" s="537"/>
      <c r="I88" s="537"/>
    </row>
    <row r="89" spans="1:9" ht="31.5" customHeight="1">
      <c r="A89" s="609" t="s">
        <v>42</v>
      </c>
      <c r="B89" s="609"/>
      <c r="C89" s="536"/>
      <c r="D89" s="536"/>
      <c r="E89" s="536"/>
      <c r="F89" s="536"/>
      <c r="G89" s="536"/>
      <c r="H89" s="536"/>
      <c r="I89" s="536"/>
    </row>
    <row r="90" spans="1:9" ht="21.75" customHeight="1">
      <c r="A90" s="537" t="s">
        <v>11</v>
      </c>
      <c r="B90" s="537" t="s">
        <v>90</v>
      </c>
      <c r="C90" s="538">
        <f>'Datos de origen 2026'!$D$2038</f>
        <v>0</v>
      </c>
      <c r="D90" s="538">
        <f>'Datos de origen 2026'!$E$2038</f>
        <v>0</v>
      </c>
      <c r="E90" s="538">
        <f>'Datos de origen 2026'!$F$2038</f>
        <v>0</v>
      </c>
      <c r="F90" s="538">
        <f>'Datos de origen 2026'!$G$2038</f>
        <v>0</v>
      </c>
      <c r="G90" s="538">
        <f>'Datos de origen 2026'!$H$2038</f>
        <v>0</v>
      </c>
      <c r="H90" s="538">
        <f>'Datos de origen 2026'!$I$2038</f>
        <v>0</v>
      </c>
      <c r="I90" s="539">
        <f>IF(COUNT(C90:H90)=6,SUM(C90:H90),"n.d.")</f>
        <v>0</v>
      </c>
    </row>
    <row r="91" spans="1:9" ht="21.75" customHeight="1">
      <c r="A91" s="537" t="s">
        <v>1451</v>
      </c>
      <c r="B91" s="537" t="s">
        <v>90</v>
      </c>
      <c r="C91" s="538">
        <f>'Datos de origen 2026'!$D$2039</f>
        <v>0</v>
      </c>
      <c r="D91" s="538">
        <f>'Datos de origen 2026'!$E$2039</f>
        <v>0</v>
      </c>
      <c r="E91" s="538">
        <f>'Datos de origen 2026'!$F$2039</f>
        <v>0</v>
      </c>
      <c r="F91" s="538">
        <f>'Datos de origen 2026'!$G$2039</f>
        <v>0</v>
      </c>
      <c r="G91" s="538">
        <f>'Datos de origen 2026'!$H$2039</f>
        <v>0</v>
      </c>
      <c r="H91" s="538">
        <f>'Datos de origen 2026'!$I$2039</f>
        <v>0</v>
      </c>
      <c r="I91" s="539">
        <f>IF(COUNT(C91:H91)=6,SUM(C91:H91),"n.d.")</f>
        <v>0</v>
      </c>
    </row>
    <row r="92" spans="1:9" ht="21.75" customHeight="1">
      <c r="A92" s="537" t="s">
        <v>14</v>
      </c>
      <c r="B92" s="537" t="s">
        <v>90</v>
      </c>
      <c r="C92" s="538">
        <f>'Datos de origen 2026'!$D$2040</f>
        <v>0</v>
      </c>
      <c r="D92" s="538">
        <f>'Datos de origen 2026'!$E$2040</f>
        <v>0</v>
      </c>
      <c r="E92" s="538">
        <f>'Datos de origen 2026'!$F$2040</f>
        <v>0</v>
      </c>
      <c r="F92" s="538">
        <f>'Datos de origen 2026'!$G$2040</f>
        <v>0</v>
      </c>
      <c r="G92" s="538">
        <f>'Datos de origen 2026'!$H$2040</f>
        <v>0</v>
      </c>
      <c r="H92" s="538">
        <f>'Datos de origen 2026'!$I$2040</f>
        <v>0</v>
      </c>
      <c r="I92" s="539">
        <f>IF(COUNT(C92:H92)=6,SUM(C92:H92),"n.d.")</f>
        <v>0</v>
      </c>
    </row>
    <row r="93" spans="1:9" ht="21.75" customHeight="1">
      <c r="A93" s="537" t="s">
        <v>16</v>
      </c>
      <c r="B93" s="537" t="s">
        <v>90</v>
      </c>
      <c r="C93" s="538">
        <f>'Datos de origen 2026'!$D$2041</f>
        <v>0</v>
      </c>
      <c r="D93" s="538">
        <f>'Datos de origen 2026'!$E$2041</f>
        <v>0</v>
      </c>
      <c r="E93" s="538">
        <f>'Datos de origen 2026'!$F$2041</f>
        <v>0</v>
      </c>
      <c r="F93" s="538">
        <f>'Datos de origen 2026'!$G$2041</f>
        <v>0</v>
      </c>
      <c r="G93" s="538">
        <f>'Datos de origen 2026'!$H$2041</f>
        <v>0</v>
      </c>
      <c r="H93" s="538">
        <f>'Datos de origen 2026'!$I$2041</f>
        <v>0</v>
      </c>
      <c r="I93" s="539">
        <f>IF(COUNT(C93:H93)=6,SUM(C93:H93),"n.d.")</f>
        <v>0</v>
      </c>
    </row>
    <row r="94" spans="1:9" ht="21.75" customHeight="1">
      <c r="A94" s="537" t="s">
        <v>15</v>
      </c>
      <c r="B94" s="537" t="s">
        <v>90</v>
      </c>
      <c r="C94" s="538">
        <f>'Datos de origen 2026'!$D$2042</f>
        <v>0</v>
      </c>
      <c r="D94" s="538">
        <f>'Datos de origen 2026'!$E$2042</f>
        <v>0</v>
      </c>
      <c r="E94" s="538">
        <f>'Datos de origen 2026'!$F$2042</f>
        <v>0</v>
      </c>
      <c r="F94" s="538">
        <f>'Datos de origen 2026'!$G$2042</f>
        <v>0</v>
      </c>
      <c r="G94" s="538">
        <f>'Datos de origen 2026'!$H$2042</f>
        <v>0</v>
      </c>
      <c r="H94" s="538">
        <f>'Datos de origen 2026'!$I$2042</f>
        <v>0</v>
      </c>
      <c r="I94" s="539">
        <f>IF(COUNT(C94:H94)=6,SUM(C94:H94),"n.d.")</f>
        <v>0</v>
      </c>
    </row>
    <row r="95" spans="1:9" ht="21.75" customHeight="1">
      <c r="A95" s="537" t="s">
        <v>17</v>
      </c>
      <c r="B95" s="537" t="s">
        <v>90</v>
      </c>
      <c r="C95" s="540">
        <f>'Datos de origen 2026'!$D$2043</f>
        <v>0</v>
      </c>
      <c r="D95" s="540">
        <f>'Datos de origen 2026'!$E$2043</f>
        <v>0</v>
      </c>
      <c r="E95" s="540">
        <f>'Datos de origen 2026'!$F$2043</f>
        <v>0</v>
      </c>
      <c r="F95" s="540">
        <f>'Datos de origen 2026'!$G$2043</f>
        <v>0</v>
      </c>
      <c r="G95" s="540">
        <f>'Datos de origen 2026'!$H$2043</f>
        <v>0</v>
      </c>
      <c r="H95" s="540">
        <f>'Datos de origen 2026'!$I$2043</f>
        <v>0</v>
      </c>
      <c r="I95" s="541">
        <f>IF(COUNT(C95:H95)=6,SUM(C95:H95),"n.d.")</f>
        <v>0</v>
      </c>
    </row>
    <row r="96" spans="1:9" ht="21.75" customHeight="1">
      <c r="A96" s="537" t="s">
        <v>18</v>
      </c>
      <c r="B96" s="537" t="s">
        <v>90</v>
      </c>
      <c r="C96" s="538">
        <f>'Datos de origen 2026'!$D$2044</f>
        <v>0</v>
      </c>
      <c r="D96" s="538">
        <f>'Datos de origen 2026'!$E$2044</f>
        <v>0</v>
      </c>
      <c r="E96" s="538">
        <f>'Datos de origen 2026'!$F$2044</f>
        <v>0</v>
      </c>
      <c r="F96" s="538">
        <f>'Datos de origen 2026'!$G$2044</f>
        <v>0</v>
      </c>
      <c r="G96" s="538">
        <f>'Datos de origen 2026'!$H$2044</f>
        <v>0</v>
      </c>
      <c r="H96" s="538">
        <f>'Datos de origen 2026'!$I$2044</f>
        <v>0</v>
      </c>
      <c r="I96" s="539">
        <f>IF(COUNT(C96:H96)=6,SUM(C96:H96),"n.d.")</f>
        <v>0</v>
      </c>
    </row>
    <row r="97" spans="1:9" ht="21.75" customHeight="1">
      <c r="A97" s="537"/>
      <c r="B97" s="537"/>
      <c r="C97" s="537"/>
      <c r="D97" s="537"/>
      <c r="E97" s="537"/>
      <c r="F97" s="537"/>
      <c r="G97" s="537"/>
      <c r="H97" s="537"/>
      <c r="I97" s="537"/>
    </row>
    <row r="98" spans="1:9" ht="31.5" customHeight="1">
      <c r="A98" s="609" t="s">
        <v>41</v>
      </c>
      <c r="B98" s="609"/>
      <c r="C98" s="536"/>
      <c r="D98" s="536"/>
      <c r="E98" s="536"/>
      <c r="F98" s="536"/>
      <c r="G98" s="536"/>
      <c r="H98" s="536"/>
      <c r="I98" s="536"/>
    </row>
    <row r="99" spans="1:9" ht="21.75" customHeight="1">
      <c r="A99" s="537" t="s">
        <v>11</v>
      </c>
      <c r="B99" s="537" t="s">
        <v>90</v>
      </c>
      <c r="C99" s="538">
        <f>'Datos de origen 2026'!$D$2122</f>
        <v>0</v>
      </c>
      <c r="D99" s="538">
        <f>'Datos de origen 2026'!$E$2122</f>
        <v>0</v>
      </c>
      <c r="E99" s="538">
        <f>'Datos de origen 2026'!$F$2122</f>
        <v>5.6356992000000009E-2</v>
      </c>
      <c r="F99" s="538">
        <f>'Datos de origen 2026'!$G$2122</f>
        <v>0.12315340800000002</v>
      </c>
      <c r="G99" s="538">
        <f>'Datos de origen 2026'!$H$2122</f>
        <v>0.14343940800000002</v>
      </c>
      <c r="H99" s="538">
        <f>'Datos de origen 2026'!$I$2122</f>
        <v>0.28514167200000001</v>
      </c>
      <c r="I99" s="539">
        <f>IF(COUNT(C99:H99)=6,SUM(C99:H99),"n.d.")</f>
        <v>0.60809148000000013</v>
      </c>
    </row>
    <row r="100" spans="1:9" ht="21.75" customHeight="1">
      <c r="A100" s="537" t="s">
        <v>1451</v>
      </c>
      <c r="B100" s="537" t="s">
        <v>90</v>
      </c>
      <c r="C100" s="538">
        <f>'Datos de origen 2026'!$D$2123</f>
        <v>0</v>
      </c>
      <c r="D100" s="538">
        <f>'Datos de origen 2026'!$E$2123</f>
        <v>0</v>
      </c>
      <c r="E100" s="538">
        <f>'Datos de origen 2026'!$F$2123</f>
        <v>4.7433801599999999E-2</v>
      </c>
      <c r="F100" s="538">
        <f>'Datos de origen 2026'!$G$2123</f>
        <v>0.10365411840000002</v>
      </c>
      <c r="G100" s="538">
        <f>'Datos de origen 2026'!$H$2123</f>
        <v>0.1207281684</v>
      </c>
      <c r="H100" s="538">
        <f>'Datos de origen 2026'!$I$2123</f>
        <v>0.23999424060000002</v>
      </c>
      <c r="I100" s="539">
        <f>IF(COUNT(C100:H100)=6,SUM(C100:H100),"n.d.")</f>
        <v>0.51181032900000001</v>
      </c>
    </row>
    <row r="101" spans="1:9" ht="21.75" customHeight="1">
      <c r="A101" s="537" t="s">
        <v>14</v>
      </c>
      <c r="B101" s="537" t="s">
        <v>90</v>
      </c>
      <c r="C101" s="538">
        <f>'Datos de origen 2026'!$D$2124</f>
        <v>0</v>
      </c>
      <c r="D101" s="538">
        <f>'Datos de origen 2026'!$E$2124</f>
        <v>0</v>
      </c>
      <c r="E101" s="538">
        <f>'Datos de origen 2026'!$F$2124</f>
        <v>4.1328460800000002</v>
      </c>
      <c r="F101" s="538">
        <f>'Datos de origen 2026'!$G$2124</f>
        <v>9.0312499200000023</v>
      </c>
      <c r="G101" s="538">
        <f>'Datos de origen 2026'!$H$2124</f>
        <v>10.518889919999999</v>
      </c>
      <c r="H101" s="538">
        <f>'Datos de origen 2026'!$I$2124</f>
        <v>20.910389280000004</v>
      </c>
      <c r="I101" s="539">
        <f>IF(COUNT(C101:H101)=6,SUM(C101:H101),"n.d.")</f>
        <v>44.593375200000004</v>
      </c>
    </row>
    <row r="102" spans="1:9" ht="21.75" customHeight="1">
      <c r="A102" s="537" t="s">
        <v>16</v>
      </c>
      <c r="B102" s="537" t="s">
        <v>90</v>
      </c>
      <c r="C102" s="538">
        <f>'Datos de origen 2026'!$D$2125</f>
        <v>0</v>
      </c>
      <c r="D102" s="538">
        <f>'Datos de origen 2026'!$E$2125</f>
        <v>0</v>
      </c>
      <c r="E102" s="538">
        <f>'Datos de origen 2026'!$F$2125</f>
        <v>1.9255305600000001E-3</v>
      </c>
      <c r="F102" s="538">
        <f>'Datos de origen 2026'!$G$2125</f>
        <v>4.2077414400000001E-3</v>
      </c>
      <c r="G102" s="538">
        <f>'Datos de origen 2026'!$H$2125</f>
        <v>4.9008464400000003E-3</v>
      </c>
      <c r="H102" s="538">
        <f>'Datos de origen 2026'!$I$2125</f>
        <v>9.742340460000002E-3</v>
      </c>
      <c r="I102" s="539">
        <f>IF(COUNT(C102:H102)=6,SUM(C102:H102),"n.d.")</f>
        <v>2.0776458900000003E-2</v>
      </c>
    </row>
    <row r="103" spans="1:9" ht="21.75" customHeight="1">
      <c r="A103" s="537" t="s">
        <v>15</v>
      </c>
      <c r="B103" s="537" t="s">
        <v>90</v>
      </c>
      <c r="C103" s="538">
        <f>'Datos de origen 2026'!$D$2126</f>
        <v>0</v>
      </c>
      <c r="D103" s="538">
        <f>'Datos de origen 2026'!$E$2126</f>
        <v>0</v>
      </c>
      <c r="E103" s="538">
        <f>'Datos de origen 2026'!$F$2126</f>
        <v>1.5498172800000001E-2</v>
      </c>
      <c r="F103" s="538">
        <f>'Datos de origen 2026'!$G$2126</f>
        <v>3.3867187200000003E-2</v>
      </c>
      <c r="G103" s="538">
        <f>'Datos de origen 2026'!$H$2126</f>
        <v>3.9445837200000007E-2</v>
      </c>
      <c r="H103" s="538">
        <f>'Datos de origen 2026'!$I$2126</f>
        <v>7.8413959800000002E-2</v>
      </c>
      <c r="I103" s="539">
        <f>IF(COUNT(C103:H103)=6,SUM(C103:H103),"n.d.")</f>
        <v>0.16722515700000001</v>
      </c>
    </row>
    <row r="104" spans="1:9" ht="21.75" customHeight="1">
      <c r="A104" s="537" t="s">
        <v>17</v>
      </c>
      <c r="B104" s="537" t="s">
        <v>90</v>
      </c>
      <c r="C104" s="540">
        <f>'Datos de origen 2026'!$D$2127</f>
        <v>0</v>
      </c>
      <c r="D104" s="540">
        <f>'Datos de origen 2026'!$E$2127</f>
        <v>0</v>
      </c>
      <c r="E104" s="540">
        <f>'Datos de origen 2026'!$F$2127</f>
        <v>6.5749823999999998E-5</v>
      </c>
      <c r="F104" s="540">
        <f>'Datos de origen 2026'!$G$2127</f>
        <v>1.4367897600000001E-4</v>
      </c>
      <c r="G104" s="540">
        <f>'Datos de origen 2026'!$H$2127</f>
        <v>1.6734597600000003E-4</v>
      </c>
      <c r="H104" s="540">
        <f>'Datos de origen 2026'!$I$2127</f>
        <v>3.32665284E-4</v>
      </c>
      <c r="I104" s="541">
        <f>IF(COUNT(C104:H104)=6,SUM(C104:H104),"n.d.")</f>
        <v>7.0944005999999996E-4</v>
      </c>
    </row>
    <row r="105" spans="1:9" ht="21.75" customHeight="1">
      <c r="A105" s="537" t="s">
        <v>18</v>
      </c>
      <c r="B105" s="537" t="s">
        <v>90</v>
      </c>
      <c r="C105" s="538">
        <f>'Datos de origen 2026'!$D$2128</f>
        <v>0</v>
      </c>
      <c r="D105" s="538">
        <f>'Datos de origen 2026'!$E$2128</f>
        <v>0</v>
      </c>
      <c r="E105" s="538">
        <f>'Datos de origen 2026'!$F$2128</f>
        <v>768.38880986736774</v>
      </c>
      <c r="F105" s="538">
        <f>'Datos de origen 2026'!$G$2128</f>
        <v>1679.1119831986484</v>
      </c>
      <c r="G105" s="538">
        <f>'Datos de origen 2026'!$H$2128</f>
        <v>1955.6976355515883</v>
      </c>
      <c r="H105" s="538">
        <f>'Datos de origen 2026'!$I$2128</f>
        <v>3887.7105078935251</v>
      </c>
      <c r="I105" s="539">
        <f>IF(COUNT(C105:H105)=6,SUM(C105:H105),"n.d.")</f>
        <v>8290.9089365111304</v>
      </c>
    </row>
    <row r="106" spans="1:9" ht="21.75" customHeight="1">
      <c r="A106" s="537"/>
      <c r="B106" s="537"/>
      <c r="C106" s="537"/>
      <c r="D106" s="537"/>
      <c r="E106" s="537"/>
      <c r="F106" s="537"/>
      <c r="G106" s="537"/>
      <c r="H106" s="537"/>
      <c r="I106" s="537"/>
    </row>
    <row r="107" spans="1:9" ht="31.5" customHeight="1">
      <c r="A107" s="609" t="s">
        <v>39</v>
      </c>
      <c r="B107" s="609"/>
      <c r="C107" s="536"/>
      <c r="D107" s="536"/>
      <c r="E107" s="536"/>
      <c r="F107" s="536"/>
      <c r="G107" s="536"/>
      <c r="H107" s="536"/>
      <c r="I107" s="536"/>
    </row>
    <row r="108" spans="1:9" ht="21.75" customHeight="1">
      <c r="A108" s="537" t="s">
        <v>11</v>
      </c>
      <c r="B108" s="537" t="s">
        <v>90</v>
      </c>
      <c r="C108" s="538">
        <f>'Datos de origen 2026'!$D$2276</f>
        <v>0.58587292800000013</v>
      </c>
      <c r="D108" s="538">
        <f>'Datos de origen 2026'!$E$2276</f>
        <v>0.49734565200000008</v>
      </c>
      <c r="E108" s="538">
        <f>'Datos de origen 2026'!$F$2276</f>
        <v>0.70287595200000008</v>
      </c>
      <c r="F108" s="538">
        <f>'Datos de origen 2026'!$G$2276</f>
        <v>0.6304963320000001</v>
      </c>
      <c r="G108" s="538">
        <f>'Datos de origen 2026'!$H$2276</f>
        <v>0.53846992800000004</v>
      </c>
      <c r="H108" s="538">
        <f>'Datos de origen 2026'!$I$2276</f>
        <v>0.91730476800000005</v>
      </c>
      <c r="I108" s="539">
        <f>IF(COUNT(C108:H108)=6,SUM(C108:H108),"n.d.")</f>
        <v>3.8723655600000009</v>
      </c>
    </row>
    <row r="109" spans="1:9" ht="21.75" customHeight="1">
      <c r="A109" s="537" t="s">
        <v>1451</v>
      </c>
      <c r="B109" s="537" t="s">
        <v>90</v>
      </c>
      <c r="C109" s="538">
        <f>'Datos de origen 2026'!$D$2277</f>
        <v>4.9310971440000018E-2</v>
      </c>
      <c r="D109" s="538">
        <f>'Datos de origen 2026'!$E$2277</f>
        <v>0.41859925710000001</v>
      </c>
      <c r="E109" s="538">
        <f>'Datos de origen 2026'!$F$2277</f>
        <v>0.59158725960000003</v>
      </c>
      <c r="F109" s="538">
        <f>'Datos de origen 2026'!$G$2277</f>
        <v>0.5306677461</v>
      </c>
      <c r="G109" s="538">
        <f>'Datos de origen 2026'!$H$2277</f>
        <v>0.45321218940000002</v>
      </c>
      <c r="H109" s="538">
        <f>'Datos de origen 2026'!$I$2277</f>
        <v>0.77206484639999995</v>
      </c>
      <c r="I109" s="539">
        <f>IF(COUNT(C109:H109)=6,SUM(C109:H109),"n.d.")</f>
        <v>2.8154422700400001</v>
      </c>
    </row>
    <row r="110" spans="1:9" ht="21.75" customHeight="1">
      <c r="A110" s="537" t="s">
        <v>14</v>
      </c>
      <c r="B110" s="537" t="s">
        <v>90</v>
      </c>
      <c r="C110" s="538">
        <f>'Datos de origen 2026'!$D$2278</f>
        <v>14.043262599492838</v>
      </c>
      <c r="D110" s="538">
        <f>'Datos de origen 2026'!$E$2278</f>
        <v>11.921280639463134</v>
      </c>
      <c r="E110" s="538">
        <f>'Datos de origen 2026'!$F$2278</f>
        <v>16.847802820485541</v>
      </c>
      <c r="F110" s="538">
        <f>'Datos de origen 2026'!$G$2278</f>
        <v>15.112877102068486</v>
      </c>
      <c r="G110" s="538">
        <f>'Datos de origen 2026'!$H$2278</f>
        <v>12.907021709721327</v>
      </c>
      <c r="H110" s="538">
        <f>'Datos de origen 2026'!$I$2278</f>
        <v>21.987620736745928</v>
      </c>
      <c r="I110" s="539">
        <f>IF(COUNT(C110:H110)=6,SUM(C110:H110),"n.d.")</f>
        <v>92.819865607977249</v>
      </c>
    </row>
    <row r="111" spans="1:9" ht="21.75" customHeight="1">
      <c r="A111" s="537" t="s">
        <v>16</v>
      </c>
      <c r="B111" s="537" t="s">
        <v>90</v>
      </c>
      <c r="C111" s="538">
        <f>'Datos de origen 2026'!$D$2279</f>
        <v>2.0017325040000002E-2</v>
      </c>
      <c r="D111" s="538">
        <f>'Datos de origen 2026'!$E$2279</f>
        <v>1.6992643110000004E-2</v>
      </c>
      <c r="E111" s="538">
        <f>'Datos de origen 2026'!$F$2279</f>
        <v>2.4014928360000003E-2</v>
      </c>
      <c r="F111" s="538">
        <f>'Datos de origen 2026'!$G$2279</f>
        <v>2.1541958010000001E-2</v>
      </c>
      <c r="G111" s="538">
        <f>'Datos de origen 2026'!$H$2279</f>
        <v>1.8397722540000001E-2</v>
      </c>
      <c r="H111" s="538">
        <f>'Datos de origen 2026'!$I$2279</f>
        <v>3.1341246239999995E-2</v>
      </c>
      <c r="I111" s="539">
        <f>IF(COUNT(C111:H111)=6,SUM(C111:H111),"n.d.")</f>
        <v>0.13230582330000001</v>
      </c>
    </row>
    <row r="112" spans="1:9" ht="21.75" customHeight="1">
      <c r="A112" s="537" t="s">
        <v>15</v>
      </c>
      <c r="B112" s="537" t="s">
        <v>90</v>
      </c>
      <c r="C112" s="538">
        <f>'Datos de origen 2026'!$D$2280</f>
        <v>0.16111505520000002</v>
      </c>
      <c r="D112" s="538">
        <f>'Datos de origen 2026'!$E$2280</f>
        <v>0.1367700543</v>
      </c>
      <c r="E112" s="538">
        <f>'Datos de origen 2026'!$F$2280</f>
        <v>0.19329088680000001</v>
      </c>
      <c r="F112" s="538">
        <f>'Datos de origen 2026'!$G$2280</f>
        <v>0.1733864913</v>
      </c>
      <c r="G112" s="538">
        <f>'Datos de origen 2026'!$H$2280</f>
        <v>0.14807923019999999</v>
      </c>
      <c r="H112" s="538">
        <f>'Datos de origen 2026'!$I$2280</f>
        <v>0.25225881120000004</v>
      </c>
      <c r="I112" s="539">
        <f>IF(COUNT(C112:H112)=6,SUM(C112:H112),"n.d.")</f>
        <v>1.064900529</v>
      </c>
    </row>
    <row r="113" spans="1:9" ht="21.75" customHeight="1">
      <c r="A113" s="537" t="s">
        <v>17</v>
      </c>
      <c r="B113" s="537" t="s">
        <v>90</v>
      </c>
      <c r="C113" s="540">
        <f>'Datos de origen 2026'!$D$2281</f>
        <v>6.83518416E-4</v>
      </c>
      <c r="D113" s="540">
        <f>'Datos de origen 2026'!$E$2281</f>
        <v>5.8023659400000004E-4</v>
      </c>
      <c r="E113" s="540">
        <f>'Datos de origen 2026'!$F$2281</f>
        <v>8.2002194400000001E-4</v>
      </c>
      <c r="F113" s="540">
        <f>'Datos de origen 2026'!$G$2281</f>
        <v>7.3557905399999999E-4</v>
      </c>
      <c r="G113" s="540">
        <f>'Datos de origen 2026'!$H$2281</f>
        <v>6.2821491600000001E-4</v>
      </c>
      <c r="H113" s="540">
        <f>'Datos de origen 2026'!$I$2281</f>
        <v>1.070188896E-3</v>
      </c>
      <c r="I113" s="541">
        <f>IF(COUNT(C113:H113)=6,SUM(C113:H113),"n.d.")</f>
        <v>4.5177598199999999E-3</v>
      </c>
    </row>
    <row r="114" spans="1:9" ht="21.75" customHeight="1">
      <c r="A114" s="537" t="s">
        <v>18</v>
      </c>
      <c r="B114" s="537" t="s">
        <v>90</v>
      </c>
      <c r="C114" s="538">
        <f>'Datos de origen 2026'!$D$2282</f>
        <v>7987.9742673177088</v>
      </c>
      <c r="D114" s="538">
        <f>'Datos de origen 2026'!$E$2282</f>
        <v>6780.9657696597787</v>
      </c>
      <c r="E114" s="538">
        <f>'Datos de origen 2026'!$F$2282</f>
        <v>9583.2299964070662</v>
      </c>
      <c r="F114" s="538">
        <f>'Datos de origen 2026'!$G$2282</f>
        <v>8596.3836780220772</v>
      </c>
      <c r="G114" s="538">
        <f>'Datos de origen 2026'!$H$2282</f>
        <v>7341.6669776358394</v>
      </c>
      <c r="H114" s="538">
        <f>'Datos de origen 2026'!$I$2282</f>
        <v>12506.819366249743</v>
      </c>
      <c r="I114" s="539">
        <f>IF(COUNT(C114:H114)=6,SUM(C114:H114),"n.d.")</f>
        <v>52797.040055292215</v>
      </c>
    </row>
    <row r="115" spans="1:9" ht="21.75" customHeight="1">
      <c r="A115" s="537"/>
      <c r="B115" s="537"/>
      <c r="C115" s="537"/>
      <c r="D115" s="537"/>
      <c r="E115" s="537"/>
      <c r="F115" s="537"/>
      <c r="G115" s="537"/>
      <c r="H115" s="537"/>
      <c r="I115" s="537"/>
    </row>
    <row r="116" spans="1:9" ht="21.75" customHeight="1">
      <c r="A116" s="537"/>
      <c r="B116" s="537"/>
      <c r="C116" s="537"/>
      <c r="D116" s="537"/>
      <c r="E116" s="537"/>
      <c r="F116" s="537"/>
      <c r="G116" s="537"/>
      <c r="H116" s="537"/>
      <c r="I116" s="537"/>
    </row>
    <row r="117" spans="1:9" ht="21.75" customHeight="1">
      <c r="A117" s="537"/>
      <c r="B117" s="537"/>
      <c r="C117" s="537"/>
      <c r="D117" s="537"/>
      <c r="E117" s="537"/>
      <c r="F117" s="537"/>
      <c r="G117" s="537"/>
      <c r="H117" s="537"/>
      <c r="I117" s="537"/>
    </row>
  </sheetData>
  <mergeCells count="12">
    <mergeCell ref="A1:I1"/>
    <mergeCell ref="A13:I13"/>
    <mergeCell ref="A14:B14"/>
    <mergeCell ref="A26:B26"/>
    <mergeCell ref="A38:B38"/>
    <mergeCell ref="A98:B98"/>
    <mergeCell ref="A107:B107"/>
    <mergeCell ref="A47:B47"/>
    <mergeCell ref="A62:B62"/>
    <mergeCell ref="A71:B71"/>
    <mergeCell ref="A80:B80"/>
    <mergeCell ref="A89:B89"/>
  </mergeCells>
  <pageMargins left="0.7" right="0.7" top="0.75" bottom="0.75" header="0.511811023622047" footer="0.511811023622047"/>
  <pageSetup paperSize="9" orientation="portrait" horizontalDpi="300" verticalDpi="30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tabColor rgb="FF233E5B"/>
  </sheetPr>
  <dimension ref="A1:H165"/>
  <sheetViews>
    <sheetView showGridLines="0" zoomScaleNormal="100" workbookViewId="0">
      <pane xSplit="2" ySplit="2" topLeftCell="C3" activePane="bottomRight" state="frozen"/>
      <selection pane="bottomRight"/>
      <selection pane="bottomLeft" activeCell="A3" sqref="A3"/>
      <selection pane="topRight" activeCell="C1" sqref="C1"/>
    </sheetView>
  </sheetViews>
  <sheetFormatPr defaultColWidth="8.7109375" defaultRowHeight="19.5"/>
  <cols>
    <col min="1" max="1" width="45.42578125" style="524" customWidth="1"/>
    <col min="2" max="2" width="11" style="524" customWidth="1"/>
    <col min="3" max="3" width="15.28515625" style="524" customWidth="1"/>
    <col min="4" max="4" width="14" style="524" customWidth="1"/>
    <col min="5" max="5" width="15.7109375" style="524" customWidth="1"/>
    <col min="6" max="6" width="16" style="524" customWidth="1"/>
    <col min="7" max="7" width="17.28515625" style="524" customWidth="1"/>
    <col min="8" max="8" width="16.28515625" style="524" customWidth="1"/>
    <col min="9" max="16379" width="8.7109375" style="524"/>
    <col min="16380" max="16384" width="11.5703125" style="524" customWidth="1"/>
  </cols>
  <sheetData>
    <row r="1" spans="1:8">
      <c r="A1" s="612" t="s">
        <v>1459</v>
      </c>
      <c r="B1" s="612"/>
      <c r="C1" s="612"/>
      <c r="D1" s="612"/>
      <c r="E1" s="612"/>
      <c r="F1" s="612"/>
      <c r="G1" s="612"/>
      <c r="H1" s="612"/>
    </row>
    <row r="2" spans="1:8">
      <c r="A2" s="526" t="s">
        <v>1444</v>
      </c>
      <c r="B2" s="526" t="s">
        <v>1445</v>
      </c>
      <c r="C2" s="526" t="s">
        <v>1446</v>
      </c>
      <c r="D2" s="526" t="s">
        <v>1447</v>
      </c>
      <c r="E2" s="526" t="s">
        <v>1448</v>
      </c>
      <c r="F2" s="526" t="s">
        <v>1449</v>
      </c>
      <c r="G2" s="526" t="s">
        <v>5</v>
      </c>
      <c r="H2" s="526" t="s">
        <v>1450</v>
      </c>
    </row>
    <row r="3" spans="1:8">
      <c r="A3" s="542" t="s">
        <v>11</v>
      </c>
      <c r="B3" s="542" t="s">
        <v>49</v>
      </c>
      <c r="C3" s="543">
        <f>IF(AND(ISNUMBER(C36),ISNUMBER(C16)),IF(C16=0,"n.a.",C36*$C$60/C16),"n.d.")</f>
        <v>1.9517576291635301E-2</v>
      </c>
      <c r="D3" s="543">
        <f>IF(AND(ISNUMBER(D36),ISNUMBER(D16)),IF(D16=0,"n.a.",D36*$C$60/D16),"n.d.")</f>
        <v>2.4467726012811969E-2</v>
      </c>
      <c r="E3" s="543">
        <f>IF(AND(ISNUMBER(E36),ISNUMBER(E16)),IF(E16=0,"n.a.",E36*$C$60/E16),"n.d.")</f>
        <v>1.7912827703680488E-2</v>
      </c>
      <c r="F3" s="543">
        <f>IF(AND(ISNUMBER(F36),ISNUMBER(F16)),IF(F16=0,"n.a.",F36*$C$60/F16),"n.d.")</f>
        <v>1.7326614056154804E-2</v>
      </c>
      <c r="G3" s="543">
        <f>IF(AND(ISNUMBER(G36),ISNUMBER(G16)),IF(G16=0,"n.a.",G36*$C$60/G16),"n.d.")</f>
        <v>1.9656664222865054E-2</v>
      </c>
      <c r="H3" s="543">
        <f>IF(AND(ISNUMBER(H36),ISNUMBER(H16)),IF(H16=0,"n.a.",H36*$C$60/H16),"n.d.")</f>
        <v>1.5453111295704192E-2</v>
      </c>
    </row>
    <row r="4" spans="1:8">
      <c r="A4" s="542" t="s">
        <v>12</v>
      </c>
      <c r="B4" s="542" t="s">
        <v>49</v>
      </c>
      <c r="C4" s="543">
        <f>IF(AND(ISNUMBER(C37),ISNUMBER(C17)),IF(C17=0,"n.a.",C37*$C$60/C17),"n.d.")</f>
        <v>2.0553617067023411E-2</v>
      </c>
      <c r="D4" s="543">
        <f>IF(AND(ISNUMBER(D37),ISNUMBER(D17)),IF(D17=0,"n.a.",D37*$C$60/D17),"n.d.")</f>
        <v>2.8206841493561848E-2</v>
      </c>
      <c r="E4" s="543">
        <f>IF(AND(ISNUMBER(E37),ISNUMBER(E17)),IF(E17=0,"n.a.",E37*$C$60/E17),"n.d.")</f>
        <v>1.5557629771859989E-2</v>
      </c>
      <c r="F4" s="543">
        <f>IF(AND(ISNUMBER(F37),ISNUMBER(F17)),IF(F17=0,"n.a.",F37*$C$60/F17),"n.d.")</f>
        <v>1.9611445936947507E-2</v>
      </c>
      <c r="G4" s="543">
        <f>IF(AND(ISNUMBER(G37),ISNUMBER(G17)),IF(G17=0,"n.a.",G37*$C$60/G17),"n.d.")</f>
        <v>2.209688820667461E-2</v>
      </c>
      <c r="H4" s="543">
        <f>IF(AND(ISNUMBER(H37),ISNUMBER(H17)),IF(H17=0,"n.a.",H37*$C$60/H17),"n.d.")</f>
        <v>1.9271657611295821E-2</v>
      </c>
    </row>
    <row r="5" spans="1:8">
      <c r="A5" s="542" t="s">
        <v>34</v>
      </c>
      <c r="B5" s="542" t="s">
        <v>49</v>
      </c>
      <c r="C5" s="543">
        <f>IF(AND(ISNUMBER(C38),ISNUMBER(C18)),IF(C18=0,"n.a.",C38*$C$60/C18),"n.d.")</f>
        <v>8.6323483699627633E-3</v>
      </c>
      <c r="D5" s="543">
        <f>IF(AND(ISNUMBER(D38),ISNUMBER(D18)),IF(D18=0,"n.a.",D38*$C$60/D18),"n.d.")</f>
        <v>1.9313701260907135E-2</v>
      </c>
      <c r="E5" s="543">
        <f>IF(AND(ISNUMBER(E38),ISNUMBER(E18)),IF(E18=0,"n.a.",E38*$C$60/E18),"n.d.")</f>
        <v>1.232970172148222E-2</v>
      </c>
      <c r="F5" s="543">
        <f>IF(AND(ISNUMBER(F38),ISNUMBER(F18)),IF(F18=0,"n.a.",F38*$C$60/F18),"n.d.")</f>
        <v>9.6048809733938617E-3</v>
      </c>
      <c r="G5" s="543">
        <f>IF(AND(ISNUMBER(G38),ISNUMBER(G18)),IF(G18=0,"n.a.",G38*$C$60/G18),"n.d.")</f>
        <v>1.2838431149973415E-2</v>
      </c>
      <c r="H5" s="543">
        <f>IF(AND(ISNUMBER(H38),ISNUMBER(H18)),IF(H18=0,"n.a.",H38*$C$60/H18),"n.d.")</f>
        <v>8.8217016271764856E-3</v>
      </c>
    </row>
    <row r="6" spans="1:8">
      <c r="A6" s="537" t="s">
        <v>1451</v>
      </c>
      <c r="B6" s="537" t="s">
        <v>49</v>
      </c>
      <c r="C6" s="543">
        <f>IF(AND(ISNUMBER(C39),ISNUMBER(C15)),IF(C15=0,"n.a.",C39*$C$60/C15),"n.d.")</f>
        <v>0.21062096277443768</v>
      </c>
      <c r="D6" s="543">
        <f>IF(AND(ISNUMBER(D39),ISNUMBER(D15)),IF(D15=0,"n.a.",D39*$C$60/D15),"n.d.")</f>
        <v>0.29942389950545695</v>
      </c>
      <c r="E6" s="543">
        <f>IF(AND(ISNUMBER(E39),ISNUMBER(E15)),IF(E15=0,"n.a.",E39*$C$60/E15),"n.d.")</f>
        <v>0.15812983069751735</v>
      </c>
      <c r="F6" s="543">
        <f>IF(AND(ISNUMBER(F39),ISNUMBER(F15)),IF(F15=0,"n.a.",F39*$C$60/F15),"n.d.")</f>
        <v>0.16599205507866283</v>
      </c>
      <c r="G6" s="543">
        <f>IF(AND(ISNUMBER(G39),ISNUMBER(G15)),IF(G15=0,"n.a.",G39*$C$60/G15),"n.d.")</f>
        <v>0.21548002931956955</v>
      </c>
      <c r="H6" s="543">
        <f>IF(AND(ISNUMBER(H39),ISNUMBER(H15)),IF(H15=0,"n.a.",H39*$C$60/H15),"n.d.")</f>
        <v>0.17415506752213075</v>
      </c>
    </row>
    <row r="7" spans="1:8">
      <c r="A7" s="537" t="s">
        <v>14</v>
      </c>
      <c r="B7" s="537" t="s">
        <v>49</v>
      </c>
      <c r="C7" s="543">
        <f>IF(AND(ISNUMBER(C40),ISNUMBER(C15)),IF(C15=0,"n.a.",C40*$C$60/C15),"n.d.")</f>
        <v>0.34852110398698749</v>
      </c>
      <c r="D7" s="543">
        <f>IF(AND(ISNUMBER(D40),ISNUMBER(D15)),IF(D15=0,"n.a.",D40*$C$60/D15),"n.d.")</f>
        <v>0.33735506515181374</v>
      </c>
      <c r="E7" s="543">
        <f>IF(AND(ISNUMBER(E40),ISNUMBER(E15)),IF(E15=0,"n.a.",E40*$C$60/E15),"n.d.")</f>
        <v>0.33894688907420684</v>
      </c>
      <c r="F7" s="543">
        <f>IF(AND(ISNUMBER(F40),ISNUMBER(F15)),IF(F15=0,"n.a.",F40*$C$60/F15),"n.d.")</f>
        <v>0.34064901490819743</v>
      </c>
      <c r="G7" s="543">
        <f>IF(AND(ISNUMBER(G40),ISNUMBER(G15)),IF(G15=0,"n.a.",G40*$C$60/G15),"n.d.")</f>
        <v>0.34412426139119673</v>
      </c>
      <c r="H7" s="543">
        <f>IF(AND(ISNUMBER(H40),ISNUMBER(H15)),IF(H15=0,"n.a.",H40*$C$60/H15),"n.d.")</f>
        <v>0.3322711481716778</v>
      </c>
    </row>
    <row r="8" spans="1:8">
      <c r="A8" s="537" t="s">
        <v>16</v>
      </c>
      <c r="B8" s="537" t="s">
        <v>49</v>
      </c>
      <c r="C8" s="543">
        <f>IF(AND(ISNUMBER(C41),ISNUMBER(C15)),IF(C15=0,"n.a.",C41*$C$60/C15),"n.d.")</f>
        <v>2.8499520416993018E-3</v>
      </c>
      <c r="D8" s="543">
        <f>IF(AND(ISNUMBER(D41),ISNUMBER(D15)),IF(D15=0,"n.a.",D41*$C$60/D15),"n.d.")</f>
        <v>2.8071374367831855E-3</v>
      </c>
      <c r="E8" s="543">
        <f>IF(AND(ISNUMBER(E41),ISNUMBER(E15)),IF(E15=0,"n.a.",E41*$C$60/E15),"n.d.")</f>
        <v>2.2581321218416162E-3</v>
      </c>
      <c r="F8" s="543">
        <f>IF(AND(ISNUMBER(F41),ISNUMBER(F15)),IF(F15=0,"n.a.",F41*$C$60/F15),"n.d.")</f>
        <v>3.0370862857438592E-3</v>
      </c>
      <c r="G8" s="543">
        <f>IF(AND(ISNUMBER(G41),ISNUMBER(G15)),IF(G15=0,"n.a.",G41*$C$60/G15),"n.d.")</f>
        <v>2.784775845633549E-3</v>
      </c>
      <c r="H8" s="543">
        <f>IF(AND(ISNUMBER(H41),ISNUMBER(H15)),IF(H15=0,"n.a.",H41*$C$60/H15),"n.d.")</f>
        <v>2.6056083022623143E-3</v>
      </c>
    </row>
    <row r="9" spans="1:8">
      <c r="A9" s="537" t="s">
        <v>15</v>
      </c>
      <c r="B9" s="537" t="s">
        <v>49</v>
      </c>
      <c r="C9" s="543">
        <f>IF(AND(ISNUMBER(C42),ISNUMBER(C15)),IF(C15=0,"n.a.",C42*$C$60/C15),"n.d.")</f>
        <v>2.0748770376100248E-2</v>
      </c>
      <c r="D9" s="543">
        <f>IF(AND(ISNUMBER(D42),ISNUMBER(D15)),IF(D15=0,"n.a.",D42*$C$60/D15),"n.d.")</f>
        <v>1.8528555142640759E-2</v>
      </c>
      <c r="E9" s="543">
        <f>IF(AND(ISNUMBER(E42),ISNUMBER(E15)),IF(E15=0,"n.a.",E42*$C$60/E15),"n.d.")</f>
        <v>1.5173215408304543E-2</v>
      </c>
      <c r="F9" s="543">
        <f>IF(AND(ISNUMBER(F42),ISNUMBER(F15)),IF(F15=0,"n.a.",F42*$C$60/F15),"n.d.")</f>
        <v>1.9175160441349003E-2</v>
      </c>
      <c r="G9" s="543">
        <f>IF(AND(ISNUMBER(G42),ISNUMBER(G15)),IF(G15=0,"n.a.",G42*$C$60/G15),"n.d.")</f>
        <v>1.808908648933542E-2</v>
      </c>
      <c r="H9" s="543">
        <f>IF(AND(ISNUMBER(H42),ISNUMBER(H15)),IF(H15=0,"n.a.",H42*$C$60/H15),"n.d.")</f>
        <v>1.8648607155289119E-2</v>
      </c>
    </row>
    <row r="10" spans="1:8">
      <c r="A10" s="542" t="s">
        <v>36</v>
      </c>
      <c r="B10" s="542" t="s">
        <v>49</v>
      </c>
      <c r="C10" s="543">
        <f>IF(AND(ISNUMBER(C43),ISNUMBER(C19)),IF(C19=0,"n.a.",C43*$C$60/C19),"n.d.")</f>
        <v>3.2705353346139908E-3</v>
      </c>
      <c r="D10" s="543">
        <f>IF(AND(ISNUMBER(D43),ISNUMBER(D19)),IF(D19=0,"n.a.",D43*$C$60/D19),"n.d.")</f>
        <v>1.3433891852910197E-2</v>
      </c>
      <c r="E10" s="543">
        <f>IF(AND(ISNUMBER(E43),ISNUMBER(E19)),IF(E19=0,"n.a.",E43*$C$60/E19),"n.d.")</f>
        <v>5.678780928156088E-3</v>
      </c>
      <c r="F10" s="543">
        <f>IF(AND(ISNUMBER(F43),ISNUMBER(F19)),IF(F19=0,"n.a.",F43*$C$60/F19),"n.d.")</f>
        <v>4.9127548142748334E-3</v>
      </c>
      <c r="G10" s="543">
        <f>IF(AND(ISNUMBER(G43),ISNUMBER(G19)),IF(G19=0,"n.a.",G43*$C$60/G19),"n.d.")</f>
        <v>7.2235759204041482E-3</v>
      </c>
      <c r="H10" s="543">
        <f>IF(AND(ISNUMBER(H43),ISNUMBER(H19)),IF(H19=0,"n.a.",H43*$C$60/H19),"n.d.")</f>
        <v>2.6688806768336601E-3</v>
      </c>
    </row>
    <row r="11" spans="1:8">
      <c r="A11" s="537" t="s">
        <v>17</v>
      </c>
      <c r="B11" s="537" t="s">
        <v>49</v>
      </c>
      <c r="C11" s="544">
        <f>IF(AND(ISNUMBER(C44),ISNUMBER(C15)),IF(C15=0,"n.a.",C44*$C$60/C15),"n.d.")</f>
        <v>5.8366701561617665E-6</v>
      </c>
      <c r="D11" s="544">
        <f>IF(AND(ISNUMBER(D44),ISNUMBER(D15)),IF(D15=0,"n.a.",D44*$C$60/D15),"n.d.")</f>
        <v>6.3749996582749361E-6</v>
      </c>
      <c r="E11" s="544">
        <f>IF(AND(ISNUMBER(E44),ISNUMBER(E15)),IF(E15=0,"n.a.",E44*$C$60/E15),"n.d.")</f>
        <v>4.2917228313917962E-6</v>
      </c>
      <c r="F11" s="544">
        <f>IF(AND(ISNUMBER(F44),ISNUMBER(F15)),IF(F15=0,"n.a.",F44*$C$60/F15),"n.d.")</f>
        <v>6.1262475479263657E-6</v>
      </c>
      <c r="G11" s="544">
        <f>IF(AND(ISNUMBER(G44),ISNUMBER(G15)),IF(G15=0,"n.a.",G44*$C$60/G15),"n.d.")</f>
        <v>5.6624740395763847E-6</v>
      </c>
      <c r="H11" s="544">
        <f>IF(AND(ISNUMBER(H44),ISNUMBER(H15)),IF(H15=0,"n.a.",H44*$C$60/H15),"n.d.")</f>
        <v>4.9722583927741717E-6</v>
      </c>
    </row>
    <row r="12" spans="1:8">
      <c r="A12" s="537" t="s">
        <v>1460</v>
      </c>
      <c r="B12" s="537" t="s">
        <v>49</v>
      </c>
      <c r="C12" s="545">
        <f>IF(AND(ISNUMBER(C45),ISNUMBER(C15)),IF(C15=0,"n.a.",C45*$C$60/C15),"n.d.")</f>
        <v>143.3865670715771</v>
      </c>
      <c r="D12" s="545">
        <f>IF(AND(ISNUMBER(D45),ISNUMBER(D15)),IF(D15=0,"n.a.",D45*$C$60/D15),"n.d.")</f>
        <v>151.94057699649574</v>
      </c>
      <c r="E12" s="545">
        <f>IF(AND(ISNUMBER(E45),ISNUMBER(E15)),IF(E15=0,"n.a.",E45*$C$60/E15),"n.d.")</f>
        <v>138.59403384667479</v>
      </c>
      <c r="F12" s="545">
        <f>IF(AND(ISNUMBER(F45),ISNUMBER(F15)),IF(F15=0,"n.a.",F45*$C$60/F15),"n.d.")</f>
        <v>141.83945416360362</v>
      </c>
      <c r="G12" s="545">
        <f>IF(AND(ISNUMBER(G45),ISNUMBER(G15)),IF(G15=0,"n.a.",G45*$C$60/G15),"n.d.")</f>
        <v>144.26926728193058</v>
      </c>
      <c r="H12" s="545">
        <f>IF(AND(ISNUMBER(H45),ISNUMBER(H15)),IF(H15=0,"n.a.",H45*$C$60/H15),"n.d.")</f>
        <v>138.82094494082725</v>
      </c>
    </row>
    <row r="13" spans="1:8" ht="19.5" hidden="1" customHeight="1">
      <c r="A13" s="609" t="s">
        <v>1461</v>
      </c>
      <c r="B13" s="609"/>
      <c r="C13" s="546"/>
      <c r="D13" s="546"/>
      <c r="E13" s="546"/>
      <c r="F13" s="546"/>
      <c r="G13" s="546"/>
      <c r="H13" s="546"/>
    </row>
    <row r="14" spans="1:8" hidden="1">
      <c r="A14" s="526" t="s">
        <v>1444</v>
      </c>
      <c r="B14" s="526" t="s">
        <v>1445</v>
      </c>
      <c r="C14" s="526" t="s">
        <v>1446</v>
      </c>
      <c r="D14" s="526" t="s">
        <v>1447</v>
      </c>
      <c r="E14" s="526" t="s">
        <v>1448</v>
      </c>
      <c r="F14" s="526" t="s">
        <v>1449</v>
      </c>
      <c r="G14" s="526" t="s">
        <v>5</v>
      </c>
      <c r="H14" s="526" t="s">
        <v>1450</v>
      </c>
    </row>
    <row r="15" spans="1:8" hidden="1">
      <c r="A15" s="537" t="s">
        <v>1462</v>
      </c>
      <c r="B15" s="537" t="s">
        <v>140</v>
      </c>
      <c r="C15" s="547">
        <f>IF(COUNT(C118,C119,C120,C121,C122,C123,C124,C125,C126,C127,C128,C129,C130,C131,C132,C133,C134,C135,C136,C137,C138,C139)=22,SUM(C118,C119,C120,C121,C122,C123,C124,C125,C126,C127,C128,C129,C130,C131,C132,C133,C134,C135,C136,C137,C138,C139),"n.d.")</f>
        <v>7513665.5731372014</v>
      </c>
      <c r="D15" s="547">
        <f>IF(COUNT(D118,D119,D120,D121,D122,D123,D124,D125,D126,D127,D128,D129,D130,D131,D132,D133,D134,D135,D136,D137,D138,D139)=22,SUM(D118,D119,D120,D121,D122,D123,D124,D125,D126,D127,D128,D129,D130,D131,D132,D133,D134,D135,D136,D137,D138,D139),"n.d.")</f>
        <v>6126494.6913343994</v>
      </c>
      <c r="E15" s="547">
        <f>IF(COUNT(E118,E119,E120,E121,E122,E123,E124,E125,E126,E127,E128,E129,E130,E131,E132,E133,E134,E135,E136,E137,E138,E139)=22,SUM(E118,E119,E120,E121,E122,E123,E124,E125,E126,E127,E128,E129,E130,E131,E132,E133,E134,E135,E136,E137,E138,E139),"n.d.")</f>
        <v>7843736.9725116007</v>
      </c>
      <c r="F15" s="547">
        <f>IF(COUNT(F118,F119,F120,F121,F122,F123,F124,F125,F126,F127,F128,F129,F130,F131,F132,F133,F134,F135,F136,F137,F138,F139)=22,SUM(F118,F119,F120,F121,F122,F123,F124,F125,F126,F127,F128,F129,F130,F131,F132,F133,F134,F135,F136,F137,F138,F139),"n.d.")</f>
        <v>8386876.904971187</v>
      </c>
      <c r="G15" s="547">
        <f>IF(COUNT(G118,G119,G120,G121,G122,G123,G124,G125,G126,G127,G128,G129,G130,G131,G132,G133,G134,G135,G136,G137,G138,G139)=22,SUM(G118,G119,G120,G121,G122,G123,G124,G125,G126,G127,G128,G129,G130,G131,G132,G133,G134,G135,G136,G137,G138,G139),"n.d.")</f>
        <v>9163831.0924833734</v>
      </c>
      <c r="H15" s="547">
        <f>IF(COUNT(H118,H119,H120,H121,H122,H123,H124,H125,H126,H127,H128,H129,H130,H131,H132,H133,H134,H135,H136,H137,H138,H139)=22,SUM(H118,H119,H120,H121,H122,H123,H124,H125,H126,H127,H128,H129,H130,H131,H132,H133,H134,H135,H136,H137,H138,H139),"n.d.")</f>
        <v>11532863.907393569</v>
      </c>
    </row>
    <row r="16" spans="1:8" hidden="1">
      <c r="A16" s="537" t="s">
        <v>1463</v>
      </c>
      <c r="B16" s="537" t="s">
        <v>140</v>
      </c>
      <c r="C16" s="547">
        <f>IF(COUNT(C118,C119,C120,C121,C122,C123,C124,C125,C126,C127,C128,C129,C135,C136,C137,C138,C139)=17,SUM(C118,C119,C120,C121,C122,C123,C124,C125,C126,C127,C128,C129,C135,C136,C137,C138,C139),"n.d.")</f>
        <v>6185592.9991372004</v>
      </c>
      <c r="D16" s="547">
        <f>IF(COUNT(D118,D119,D120,D121,D122,D123,D124,D125,D126,D127,D128,D129,D135,D136,D137,D138,D139)=17,SUM(D118,D119,D120,D121,D122,D123,D124,D125,D126,D127,D128,D129,D135,D136,D137,D138,D139),"n.d.")</f>
        <v>5426355.7713343995</v>
      </c>
      <c r="E16" s="547">
        <f>IF(COUNT(E118,E119,E120,E121,E122,E123,E124,E125,E126,E127,E128,E129,E135,E136,E137,E138,E139)=17,SUM(E118,E119,E120,E121,E122,E123,E124,E125,E126,E127,E128,E129,E135,E136,E137,E138,E139),"n.d.")</f>
        <v>7695369.4885116005</v>
      </c>
      <c r="F16" s="547">
        <f>IF(COUNT(F118,F119,F120,F121,F122,F123,F124,F125,F126,F127,F128,F129,F135,F136,F137,F138,F139)=17,SUM(F118,F119,F120,F121,F122,F123,F124,F125,F126,F127,F128,F129,F135,F136,F137,F138,F139),"n.d.")</f>
        <v>6807749.8516009012</v>
      </c>
      <c r="G16" s="547">
        <f>IF(COUNT(G118,G119,G120,G121,G122,G123,G124,G125,G126,G127,G128,G129,G135,G136,G137,G138,G139)=17,SUM(G118,G119,G120,G121,G122,G123,G124,G125,G126,G127,G128,G129,G135,G136,G137,G138,G139),"n.d.")</f>
        <v>7985803.6525739999</v>
      </c>
      <c r="H16" s="547">
        <f>IF(COUNT(H118,H119,H120,H121,H122,H123,H124,H125,H126,H127,H128,H129,H135,H136,H137,H138,H139)=17,SUM(H118,H119,H120,H121,H122,H123,H124,H125,H126,H127,H128,H129,H135,H136,H137,H138,H139),"n.d.")</f>
        <v>9454586.6657621991</v>
      </c>
    </row>
    <row r="17" spans="1:8" hidden="1">
      <c r="A17" s="537" t="s">
        <v>1464</v>
      </c>
      <c r="B17" s="537" t="s">
        <v>140</v>
      </c>
      <c r="C17" s="547">
        <f>IF(COUNT(C118,C119,C120,C121,C123,C124,C125,C126,C127,C130,C131,C132,C133,C134)=14,SUM(C118,C119,C120,C121,C123,C124,C125,C126,C127,C130,C131,C132,C133,C134),"n.d.")</f>
        <v>5081976.7831372013</v>
      </c>
      <c r="D17" s="547">
        <f>IF(COUNT(D118,D119,D120,D121,D123,D124,D125,D126,D127,D130,D131,D132,D133,D134)=14,SUM(D118,D119,D120,D121,D123,D124,D125,D126,D127,D130,D131,D132,D133,D134),"n.d.")</f>
        <v>4285136.5743343998</v>
      </c>
      <c r="E17" s="547">
        <f>IF(COUNT(E118,E119,E120,E121,E123,E124,E125,E126,E127,E130,E131,E132,E133,E134)=14,SUM(E118,E119,E120,E121,E123,E124,E125,E126,E127,E130,E131,E132,E133,E134),"n.d.")</f>
        <v>5809361.3275116012</v>
      </c>
      <c r="F17" s="547">
        <f>IF(COUNT(F118,F119,F120,F121,F123,F124,F125,F126,F127,F130,F131,F132,F133,F134)=14,SUM(F118,F119,F120,F121,F123,F124,F125,F126,F127,F130,F131,F132,F133,F134),"n.d.")</f>
        <v>6331315.6529711876</v>
      </c>
      <c r="G17" s="547">
        <f>IF(COUNT(G118,G119,G120,G121,G123,G124,G125,G126,G127,G130,G131,G132,G133,G134)=14,SUM(G118,G119,G120,G121,G123,G124,G125,G126,G127,G130,G131,G132,G133,G134),"n.d.")</f>
        <v>6710103.8104833737</v>
      </c>
      <c r="H17" s="547">
        <f>IF(COUNT(H118,H119,H120,H121,H123,H124,H125,H126,H127,H130,H131,H132,H133,H134)=14,SUM(H118,H119,H120,H121,H123,H124,H125,H126,H127,H130,H131,H132,H133,H134),"n.d.")</f>
        <v>8939453.5113935694</v>
      </c>
    </row>
    <row r="18" spans="1:8" hidden="1">
      <c r="A18" s="537" t="s">
        <v>1465</v>
      </c>
      <c r="B18" s="537" t="s">
        <v>140</v>
      </c>
      <c r="C18" s="547">
        <f>IF(COUNT(C118,C119,C120,C121,C124,C125,C126,C127,C132,C133)=10,SUM(C118,C119,C120,C121,C124,C125,C126,C127,C132,C133),"n.d.")</f>
        <v>3626607.5731372</v>
      </c>
      <c r="D18" s="547">
        <f>IF(COUNT(D118,D119,D120,D121,D124,D125,D126,D127,D132,D133)=10,SUM(D118,D119,D120,D121,D124,D125,D126,D127,D132,D133),"n.d.")</f>
        <v>3263515.5453343997</v>
      </c>
      <c r="E18" s="547">
        <f>IF(COUNT(E118,E119,E120,E121,E124,E125,E126,E127,E132,E133)=10,SUM(E118,E119,E120,E121,E124,E125,E126,E127,E132,E133),"n.d.")</f>
        <v>5414316.491511601</v>
      </c>
      <c r="F18" s="547">
        <f>IF(COUNT(F118,F119,F120,F121,F124,F125,F126,F127,F132,F133)=10,SUM(F118,F119,F120,F121,F124,F125,F126,F127,F132,F133),"n.d.")</f>
        <v>4609431.2986009018</v>
      </c>
      <c r="G18" s="547">
        <f>IF(COUNT(G118,G119,G120,G121,G124,G125,G126,G127,G132,G133)=10,SUM(G118,G119,G120,G121,G124,G125,G126,G127,G132,G133),"n.d.")</f>
        <v>5110351.5835739998</v>
      </c>
      <c r="H18" s="547">
        <f>IF(COUNT(H118,H119,H120,H121,H124,H125,H126,H127,H132,H133)=10,SUM(H118,H119,H120,H121,H124,H125,H126,H127,H132,H133),"n.d.")</f>
        <v>6679279.158032652</v>
      </c>
    </row>
    <row r="19" spans="1:8" hidden="1">
      <c r="A19" s="537" t="s">
        <v>1466</v>
      </c>
      <c r="B19" s="537" t="s">
        <v>140</v>
      </c>
      <c r="C19" s="547">
        <f>IF(COUNT(C118,C119,C120,C121,C123,C124,C125,C126,C127,C132,C133)=11,SUM(C118,C119,C120,C121,C123,C124,C125,C126,C127,C132,C133),"n.d.")</f>
        <v>3817067.2231372003</v>
      </c>
      <c r="D19" s="547">
        <f>IF(COUNT(D118,D119,D120,D121,D123,D124,D125,D126,D127,D132,D133)=11,SUM(D118,D119,D120,D121,D123,D124,D125,D126,D127,D132,D133),"n.d.")</f>
        <v>3607561.7583343997</v>
      </c>
      <c r="E19" s="547">
        <f>IF(COUNT(E118,E119,E120,E121,E123,E124,E125,E126,E127,E132,E133)=11,SUM(E118,E119,E120,E121,E123,E124,E125,E126,E127,E132,E133),"n.d.")</f>
        <v>5680762.8955116011</v>
      </c>
      <c r="F19" s="547">
        <f>IF(COUNT(F118,F119,F120,F121,F123,F124,F125,F126,F127,F132,F133)=11,SUM(F118,F119,F120,F121,F123,F124,F125,F126,F127,F132,F133),"n.d.")</f>
        <v>5126310.3256009016</v>
      </c>
      <c r="G19" s="547">
        <f>IF(COUNT(G118,G119,G120,G121,G123,G124,G125,G126,G127,G132,G133)=11,SUM(G118,G119,G120,G121,G123,G124,G125,G126,G127,G132,G133),"n.d.")</f>
        <v>5539052.408574</v>
      </c>
      <c r="H19" s="547">
        <f>IF(COUNT(H118,H119,H120,H121,H123,H124,H125,H126,H127,H132,H133)=11,SUM(H118,H119,H120,H121,H123,H124,H125,H126,H127,H132,H133),"n.d.")</f>
        <v>6861297.3720326517</v>
      </c>
    </row>
    <row r="20" spans="1:8" hidden="1">
      <c r="A20" s="537"/>
      <c r="B20" s="537"/>
      <c r="C20" s="548"/>
      <c r="D20" s="548"/>
      <c r="E20" s="548"/>
      <c r="F20" s="548"/>
      <c r="G20" s="548"/>
      <c r="H20" s="548"/>
    </row>
    <row r="21" spans="1:8" hidden="1">
      <c r="A21" s="549" t="s">
        <v>1467</v>
      </c>
      <c r="B21" s="549"/>
      <c r="C21" s="550"/>
      <c r="D21" s="550"/>
      <c r="E21" s="550"/>
      <c r="F21" s="550"/>
      <c r="G21" s="550"/>
      <c r="H21" s="550"/>
    </row>
    <row r="22" spans="1:8" hidden="1">
      <c r="A22" s="526" t="s">
        <v>1444</v>
      </c>
      <c r="B22" s="526" t="s">
        <v>1445</v>
      </c>
      <c r="C22" s="526" t="s">
        <v>1446</v>
      </c>
      <c r="D22" s="526" t="s">
        <v>1447</v>
      </c>
      <c r="E22" s="526" t="s">
        <v>1448</v>
      </c>
      <c r="F22" s="526" t="s">
        <v>1449</v>
      </c>
      <c r="G22" s="526" t="s">
        <v>5</v>
      </c>
      <c r="H22" s="526" t="s">
        <v>1450</v>
      </c>
    </row>
    <row r="23" spans="1:8" hidden="1">
      <c r="A23" s="537" t="s">
        <v>11</v>
      </c>
      <c r="B23" s="537" t="s">
        <v>1468</v>
      </c>
      <c r="C23" s="551">
        <f>IF(ISNUMBER('Mensual 2026'!C3),'Mensual 2026'!C3,"n.d.")</f>
        <v>60.363891634832761</v>
      </c>
      <c r="D23" s="551">
        <f>IF(ISNUMBER('Mensual 2026'!D3),'Mensual 2026'!D3,"n.d.")</f>
        <v>66.385293130525525</v>
      </c>
      <c r="E23" s="551">
        <f>IF(ISNUMBER('Mensual 2026'!E3),'Mensual 2026'!E3,"n.d.")</f>
        <v>68.922913881934079</v>
      </c>
      <c r="F23" s="551">
        <f>IF(ISNUMBER('Mensual 2026'!F3),'Mensual 2026'!F3,"n.d.")</f>
        <v>58.977627134766983</v>
      </c>
      <c r="G23" s="551">
        <f>IF(ISNUMBER('Mensual 2026'!G3),'Mensual 2026'!G3,"n.d.")</f>
        <v>78.487130474188206</v>
      </c>
      <c r="H23" s="551">
        <f>IF(ISNUMBER('Mensual 2026'!H3),'Mensual 2026'!H3,"n.d.")</f>
        <v>73.051390000452045</v>
      </c>
    </row>
    <row r="24" spans="1:8" hidden="1">
      <c r="A24" s="537" t="s">
        <v>12</v>
      </c>
      <c r="B24" s="537" t="s">
        <v>1468</v>
      </c>
      <c r="C24" s="551">
        <f>IF(ISNUMBER('Mensual 2026'!C4),'Mensual 2026'!C4,"n.d.")</f>
        <v>52.226502372052757</v>
      </c>
      <c r="D24" s="551">
        <f>IF(ISNUMBER('Mensual 2026'!D4),'Mensual 2026'!D4,"n.d.")</f>
        <v>60.435084065257513</v>
      </c>
      <c r="E24" s="551">
        <f>IF(ISNUMBER('Mensual 2026'!E4),'Mensual 2026'!E4,"n.d.")</f>
        <v>45.189946372193276</v>
      </c>
      <c r="F24" s="551">
        <f>IF(ISNUMBER('Mensual 2026'!F4),'Mensual 2026'!F4,"n.d.")</f>
        <v>62.083127318996972</v>
      </c>
      <c r="G24" s="551">
        <f>IF(ISNUMBER('Mensual 2026'!G4),'Mensual 2026'!G4,"n.d.")</f>
        <v>74.136206877716205</v>
      </c>
      <c r="H24" s="551">
        <f>IF(ISNUMBER('Mensual 2026'!H4),'Mensual 2026'!H4,"n.d.")</f>
        <v>86.139043651836516</v>
      </c>
    </row>
    <row r="25" spans="1:8" hidden="1">
      <c r="A25" s="537" t="s">
        <v>34</v>
      </c>
      <c r="B25" s="537" t="s">
        <v>1468</v>
      </c>
      <c r="C25" s="551">
        <f>IF(ISNUMBER('Mensual 2026'!C5),'Mensual 2026'!C5,"n.d.")</f>
        <v>15.65306998623276</v>
      </c>
      <c r="D25" s="551">
        <f>IF(ISNUMBER('Mensual 2026'!D5),'Mensual 2026'!D5,"n.d.")</f>
        <v>31.515282151457516</v>
      </c>
      <c r="E25" s="551">
        <f>IF(ISNUMBER('Mensual 2026'!E5),'Mensual 2026'!E5,"n.d.")</f>
        <v>33.378453683020084</v>
      </c>
      <c r="F25" s="551">
        <f>IF(ISNUMBER('Mensual 2026'!F5),'Mensual 2026'!F5,"n.d.")</f>
        <v>22.136519489048979</v>
      </c>
      <c r="G25" s="551">
        <f>IF(ISNUMBER('Mensual 2026'!G5),'Mensual 2026'!G5,"n.d.")</f>
        <v>32.804448478936202</v>
      </c>
      <c r="H25" s="551">
        <f>IF(ISNUMBER('Mensual 2026'!H5),'Mensual 2026'!H5,"n.d.")</f>
        <v>29.461303908391315</v>
      </c>
    </row>
    <row r="26" spans="1:8" hidden="1">
      <c r="A26" s="537" t="s">
        <v>1451</v>
      </c>
      <c r="B26" s="537" t="s">
        <v>1468</v>
      </c>
      <c r="C26" s="551">
        <f>IF(ISNUMBER('Mensual 2026'!C6),'Mensual 2026'!C6,"n.d.")</f>
        <v>791.26773848965217</v>
      </c>
      <c r="D26" s="551">
        <f>IF(ISNUMBER('Mensual 2026'!D6),'Mensual 2026'!D6,"n.d.")</f>
        <v>917.20946538941325</v>
      </c>
      <c r="E26" s="551">
        <f>IF(ISNUMBER('Mensual 2026'!E6),'Mensual 2026'!E6,"n.d.")</f>
        <v>620.16439974955836</v>
      </c>
      <c r="F26" s="551">
        <f>IF(ISNUMBER('Mensual 2026'!F6),'Mensual 2026'!F6,"n.d.")</f>
        <v>696.07746657397115</v>
      </c>
      <c r="G26" s="551">
        <f>IF(ISNUMBER('Mensual 2026'!G6),'Mensual 2026'!G6,"n.d.")</f>
        <v>987.31129624395021</v>
      </c>
      <c r="H26" s="551">
        <f>IF(ISNUMBER('Mensual 2026'!H6),'Mensual 2026'!H6,"n.d.")</f>
        <v>1004.2533462578358</v>
      </c>
    </row>
    <row r="27" spans="1:8" hidden="1">
      <c r="A27" s="537" t="s">
        <v>14</v>
      </c>
      <c r="B27" s="537" t="s">
        <v>1468</v>
      </c>
      <c r="C27" s="551">
        <f>IF(ISNUMBER('Mensual 2026'!C7),'Mensual 2026'!C7,"n.d.")</f>
        <v>1309.3355102693993</v>
      </c>
      <c r="D27" s="551">
        <f>IF(ISNUMBER('Mensual 2026'!D7),'Mensual 2026'!D7,"n.d.")</f>
        <v>1033.4020078736787</v>
      </c>
      <c r="E27" s="551">
        <f>IF(ISNUMBER('Mensual 2026'!E7),'Mensual 2026'!E7,"n.d.")</f>
        <v>1329.3051227745723</v>
      </c>
      <c r="F27" s="551">
        <f>IF(ISNUMBER('Mensual 2026'!F7),'Mensual 2026'!F7,"n.d.")</f>
        <v>1428.4906779173734</v>
      </c>
      <c r="G27" s="551">
        <f>IF(ISNUMBER('Mensual 2026'!G7),'Mensual 2026'!G7,"n.d.")</f>
        <v>1576.748303107262</v>
      </c>
      <c r="H27" s="551">
        <f>IF(ISNUMBER('Mensual 2026'!H7),'Mensual 2026'!H7,"n.d.")</f>
        <v>1916.0189661086818</v>
      </c>
    </row>
    <row r="28" spans="1:8" hidden="1">
      <c r="A28" s="537" t="s">
        <v>16</v>
      </c>
      <c r="B28" s="537" t="s">
        <v>1468</v>
      </c>
      <c r="C28" s="551">
        <f>IF(ISNUMBER('Mensual 2026'!C8),'Mensual 2026'!C8,"n.d.")</f>
        <v>10.706793270404061</v>
      </c>
      <c r="D28" s="551">
        <f>IF(ISNUMBER('Mensual 2026'!D8),'Mensual 2026'!D8,"n.d.")</f>
        <v>8.5989563021491193</v>
      </c>
      <c r="E28" s="551">
        <f>IF(ISNUMBER('Mensual 2026'!E8),'Mensual 2026'!E8,"n.d.")</f>
        <v>8.8560972064525778</v>
      </c>
      <c r="F28" s="551">
        <f>IF(ISNUMBER('Mensual 2026'!F8),'Mensual 2026'!F8,"n.d.")</f>
        <v>12.735834414154947</v>
      </c>
      <c r="G28" s="551">
        <f>IF(ISNUMBER('Mensual 2026'!G8),'Mensual 2026'!G8,"n.d.")</f>
        <v>12.759607739906698</v>
      </c>
      <c r="H28" s="551">
        <f>IF(ISNUMBER('Mensual 2026'!H8),'Mensual 2026'!H8,"n.d.")</f>
        <v>15.02506297298304</v>
      </c>
    </row>
    <row r="29" spans="1:8" hidden="1">
      <c r="A29" s="537" t="s">
        <v>15</v>
      </c>
      <c r="B29" s="537" t="s">
        <v>1468</v>
      </c>
      <c r="C29" s="551">
        <f>IF(ISNUMBER('Mensual 2026'!C9),'Mensual 2026'!C9,"n.d.")</f>
        <v>77.949660829916724</v>
      </c>
      <c r="D29" s="551">
        <f>IF(ISNUMBER('Mensual 2026'!D9),'Mensual 2026'!D9,"n.d.")</f>
        <v>56.757547359742645</v>
      </c>
      <c r="E29" s="551">
        <f>IF(ISNUMBER('Mensual 2026'!E9),'Mensual 2026'!E9,"n.d.")</f>
        <v>59.507355345000526</v>
      </c>
      <c r="F29" s="551">
        <f>IF(ISNUMBER('Mensual 2026'!F9),'Mensual 2026'!F9,"n.d.")</f>
        <v>80.409855127333529</v>
      </c>
      <c r="G29" s="551">
        <f>IF(ISNUMBER('Mensual 2026'!G9),'Mensual 2026'!G9,"n.d.")</f>
        <v>82.882666602796405</v>
      </c>
      <c r="H29" s="551">
        <f>IF(ISNUMBER('Mensual 2026'!H9),'Mensual 2026'!H9,"n.d.")</f>
        <v>107.53592419219768</v>
      </c>
    </row>
    <row r="30" spans="1:8" hidden="1">
      <c r="A30" s="537" t="s">
        <v>36</v>
      </c>
      <c r="B30" s="537" t="s">
        <v>1468</v>
      </c>
      <c r="C30" s="551">
        <f>IF(ISNUMBER('Mensual 2026'!C10),'Mensual 2026'!C10,"n.d.")</f>
        <v>6.2419266139335603</v>
      </c>
      <c r="D30" s="551">
        <f>IF(ISNUMBER('Mensual 2026'!D10),'Mensual 2026'!D10,"n.d.")</f>
        <v>24.231797257079439</v>
      </c>
      <c r="E30" s="551">
        <f>IF(ISNUMBER('Mensual 2026'!E10),'Mensual 2026'!E10,"n.d.")</f>
        <v>16.129903994204017</v>
      </c>
      <c r="F30" s="551">
        <f>IF(ISNUMBER('Mensual 2026'!F10),'Mensual 2026'!F10,"n.d.")</f>
        <v>12.592152865781308</v>
      </c>
      <c r="G30" s="551">
        <f>IF(ISNUMBER('Mensual 2026'!G10),'Mensual 2026'!G10,"n.d.")</f>
        <v>20.005882800215872</v>
      </c>
      <c r="H30" s="551">
        <f>IF(ISNUMBER('Mensual 2026'!H10),'Mensual 2026'!H10,"n.d.")</f>
        <v>9.1559919871137598</v>
      </c>
    </row>
    <row r="31" spans="1:8" hidden="1">
      <c r="A31" s="537" t="s">
        <v>17</v>
      </c>
      <c r="B31" s="537" t="s">
        <v>1468</v>
      </c>
      <c r="C31" s="551">
        <f>IF(ISNUMBER('Mensual 2026'!C11),'Mensual 2026'!C11,"n.d.")</f>
        <v>2.1927393807054996E-2</v>
      </c>
      <c r="D31" s="551">
        <f>IF(ISNUMBER('Mensual 2026'!D11),'Mensual 2026'!D11,"n.d.")</f>
        <v>1.9528200781840001E-2</v>
      </c>
      <c r="E31" s="551">
        <f>IF(ISNUMBER('Mensual 2026'!E11),'Mensual 2026'!E11,"n.d.")</f>
        <v>1.6831572524180001E-2</v>
      </c>
      <c r="F31" s="551">
        <f>IF(ISNUMBER('Mensual 2026'!F11),'Mensual 2026'!F11,"n.d.")</f>
        <v>2.5690042036920002E-2</v>
      </c>
      <c r="G31" s="551">
        <f>IF(ISNUMBER('Mensual 2026'!G11),'Mensual 2026'!G11,"n.d.")</f>
        <v>2.5944977832125002E-2</v>
      </c>
      <c r="H31" s="551">
        <f>IF(ISNUMBER('Mensual 2026'!H11),'Mensual 2026'!H11,"n.d.")</f>
        <v>2.8672189678130001E-2</v>
      </c>
    </row>
    <row r="32" spans="1:8" hidden="1">
      <c r="A32" s="537" t="s">
        <v>1460</v>
      </c>
      <c r="B32" s="537" t="s">
        <v>1468</v>
      </c>
      <c r="C32" s="547">
        <f>IF(ISNUMBER('Mensual 2026'!C12),'Mensual 2026'!C12,"n.d.")</f>
        <v>538679.35632801859</v>
      </c>
      <c r="D32" s="547">
        <f>IF(ISNUMBER('Mensual 2026'!D12),'Mensual 2026'!D12,"n.d.")</f>
        <v>465431.56918365834</v>
      </c>
      <c r="E32" s="547">
        <f>IF(ISNUMBER('Mensual 2026'!E12),'Mensual 2026'!E12,"n.d.")</f>
        <v>543547.57372634357</v>
      </c>
      <c r="F32" s="547">
        <f>IF(ISNUMBER('Mensual 2026'!F12),'Mensual 2026'!F12,"n.d.")</f>
        <v>594795.02116922324</v>
      </c>
      <c r="G32" s="547">
        <f>IF(ISNUMBER('Mensual 2026'!G12),'Mensual 2026'!G12,"n.d.")</f>
        <v>661029.59860397479</v>
      </c>
      <c r="H32" s="547">
        <f>IF(ISNUMBER('Mensual 2026'!H12),'Mensual 2026'!H12,"n.d.")</f>
        <v>800501.53274916823</v>
      </c>
    </row>
    <row r="33" spans="1:8" hidden="1">
      <c r="A33" s="537"/>
      <c r="B33" s="537"/>
      <c r="C33" s="548"/>
      <c r="D33" s="548"/>
      <c r="E33" s="548"/>
      <c r="F33" s="548"/>
      <c r="G33" s="548"/>
      <c r="H33" s="548"/>
    </row>
    <row r="34" spans="1:8" ht="19.5" hidden="1" customHeight="1">
      <c r="A34" s="609" t="s">
        <v>1469</v>
      </c>
      <c r="B34" s="609"/>
      <c r="C34" s="546"/>
      <c r="D34" s="546"/>
      <c r="E34" s="546"/>
      <c r="F34" s="546"/>
      <c r="G34" s="546"/>
      <c r="H34" s="546"/>
    </row>
    <row r="35" spans="1:8" hidden="1">
      <c r="A35" s="526" t="s">
        <v>1444</v>
      </c>
      <c r="B35" s="526" t="s">
        <v>1445</v>
      </c>
      <c r="C35" s="526" t="s">
        <v>1446</v>
      </c>
      <c r="D35" s="526" t="s">
        <v>1447</v>
      </c>
      <c r="E35" s="526" t="s">
        <v>1448</v>
      </c>
      <c r="F35" s="526" t="s">
        <v>1449</v>
      </c>
      <c r="G35" s="526" t="s">
        <v>5</v>
      </c>
      <c r="H35" s="526" t="s">
        <v>1450</v>
      </c>
    </row>
    <row r="36" spans="1:8" hidden="1">
      <c r="A36" s="537" t="s">
        <v>11</v>
      </c>
      <c r="B36" s="537" t="s">
        <v>1468</v>
      </c>
      <c r="C36" s="551">
        <f>IF(ISNUMBER(C23),C23,"n.d.")</f>
        <v>60.363891634832761</v>
      </c>
      <c r="D36" s="551">
        <f>IF(ISNUMBER(D23),D23,"n.d.")</f>
        <v>66.385293130525525</v>
      </c>
      <c r="E36" s="551">
        <f>IF(ISNUMBER(E23),E23,"n.d.")</f>
        <v>68.922913881934079</v>
      </c>
      <c r="F36" s="551">
        <f>IF(ISNUMBER(F23),F23,"n.d.")</f>
        <v>58.977627134766983</v>
      </c>
      <c r="G36" s="551">
        <f>IF(ISNUMBER(G23),G23,"n.d.")</f>
        <v>78.487130474188206</v>
      </c>
      <c r="H36" s="551">
        <f>IF(ISNUMBER(H23),H23,"n.d.")</f>
        <v>73.051390000452045</v>
      </c>
    </row>
    <row r="37" spans="1:8" hidden="1">
      <c r="A37" s="537" t="s">
        <v>12</v>
      </c>
      <c r="B37" s="537" t="s">
        <v>1468</v>
      </c>
      <c r="C37" s="551">
        <f>IF(ISNUMBER(C24),C24,"n.d.")</f>
        <v>52.226502372052757</v>
      </c>
      <c r="D37" s="551">
        <f>IF(ISNUMBER(D24),D24,"n.d.")</f>
        <v>60.435084065257513</v>
      </c>
      <c r="E37" s="551">
        <f>IF(ISNUMBER(E24),E24,"n.d.")</f>
        <v>45.189946372193276</v>
      </c>
      <c r="F37" s="551">
        <f>IF(ISNUMBER(F24),F24,"n.d.")</f>
        <v>62.083127318996972</v>
      </c>
      <c r="G37" s="551">
        <f>IF(ISNUMBER(G24),G24,"n.d.")</f>
        <v>74.136206877716205</v>
      </c>
      <c r="H37" s="551">
        <f>IF(ISNUMBER(H24),H24,"n.d.")</f>
        <v>86.139043651836516</v>
      </c>
    </row>
    <row r="38" spans="1:8" hidden="1">
      <c r="A38" s="537" t="s">
        <v>34</v>
      </c>
      <c r="B38" s="537" t="s">
        <v>1468</v>
      </c>
      <c r="C38" s="551">
        <f>IF(ISNUMBER(C25),C25,"n.d.")</f>
        <v>15.65306998623276</v>
      </c>
      <c r="D38" s="551">
        <f>IF(ISNUMBER(D25),D25,"n.d.")</f>
        <v>31.515282151457516</v>
      </c>
      <c r="E38" s="551">
        <f>IF(ISNUMBER(E25),E25,"n.d.")</f>
        <v>33.378453683020084</v>
      </c>
      <c r="F38" s="551">
        <f>IF(ISNUMBER(F25),F25,"n.d.")</f>
        <v>22.136519489048979</v>
      </c>
      <c r="G38" s="551">
        <f>IF(ISNUMBER(G25),G25,"n.d.")</f>
        <v>32.804448478936202</v>
      </c>
      <c r="H38" s="551">
        <f>IF(ISNUMBER(H25),H25,"n.d.")</f>
        <v>29.461303908391315</v>
      </c>
    </row>
    <row r="39" spans="1:8" hidden="1">
      <c r="A39" s="537" t="s">
        <v>1451</v>
      </c>
      <c r="B39" s="537" t="s">
        <v>1468</v>
      </c>
      <c r="C39" s="551">
        <f>IF(ISNUMBER(C26),C26,"n.d.")</f>
        <v>791.26773848965217</v>
      </c>
      <c r="D39" s="551">
        <f>IF(ISNUMBER(D26),D26,"n.d.")</f>
        <v>917.20946538941325</v>
      </c>
      <c r="E39" s="551">
        <f>IF(ISNUMBER(E26),E26,"n.d.")</f>
        <v>620.16439974955836</v>
      </c>
      <c r="F39" s="551">
        <f>IF(ISNUMBER(F26),F26,"n.d.")</f>
        <v>696.07746657397115</v>
      </c>
      <c r="G39" s="551">
        <f>IF(ISNUMBER(G26),G26,"n.d.")</f>
        <v>987.31129624395021</v>
      </c>
      <c r="H39" s="551">
        <f>IF(ISNUMBER(H26),H26,"n.d.")</f>
        <v>1004.2533462578358</v>
      </c>
    </row>
    <row r="40" spans="1:8" hidden="1">
      <c r="A40" s="537" t="s">
        <v>14</v>
      </c>
      <c r="B40" s="537" t="s">
        <v>1468</v>
      </c>
      <c r="C40" s="551">
        <f>IF(ISNUMBER(C27),C27,"n.d.")</f>
        <v>1309.3355102693993</v>
      </c>
      <c r="D40" s="551">
        <f>IF(ISNUMBER(D27),D27,"n.d.")</f>
        <v>1033.4020078736787</v>
      </c>
      <c r="E40" s="551">
        <f>IF(ISNUMBER(E27),E27,"n.d.")</f>
        <v>1329.3051227745723</v>
      </c>
      <c r="F40" s="551">
        <f>IF(ISNUMBER(F27),F27,"n.d.")</f>
        <v>1428.4906779173734</v>
      </c>
      <c r="G40" s="551">
        <f>IF(ISNUMBER(G27),G27,"n.d.")</f>
        <v>1576.748303107262</v>
      </c>
      <c r="H40" s="551">
        <f>IF(ISNUMBER(H27),H27,"n.d.")</f>
        <v>1916.0189661086818</v>
      </c>
    </row>
    <row r="41" spans="1:8" hidden="1">
      <c r="A41" s="537" t="s">
        <v>16</v>
      </c>
      <c r="B41" s="537" t="s">
        <v>1468</v>
      </c>
      <c r="C41" s="551">
        <f>IF(ISNUMBER(C28),C28,"n.d.")</f>
        <v>10.706793270404061</v>
      </c>
      <c r="D41" s="551">
        <f>IF(ISNUMBER(D28),D28,"n.d.")</f>
        <v>8.5989563021491193</v>
      </c>
      <c r="E41" s="551">
        <f>IF(ISNUMBER(E28),E28,"n.d.")</f>
        <v>8.8560972064525778</v>
      </c>
      <c r="F41" s="551">
        <f>IF(ISNUMBER(F28),F28,"n.d.")</f>
        <v>12.735834414154947</v>
      </c>
      <c r="G41" s="551">
        <f>IF(ISNUMBER(G28),G28,"n.d.")</f>
        <v>12.759607739906698</v>
      </c>
      <c r="H41" s="551">
        <f>IF(ISNUMBER(H28),H28,"n.d.")</f>
        <v>15.02506297298304</v>
      </c>
    </row>
    <row r="42" spans="1:8" hidden="1">
      <c r="A42" s="537" t="s">
        <v>15</v>
      </c>
      <c r="B42" s="537" t="s">
        <v>1468</v>
      </c>
      <c r="C42" s="551">
        <f>IF(ISNUMBER(C29),C29,"n.d.")</f>
        <v>77.949660829916724</v>
      </c>
      <c r="D42" s="551">
        <f>IF(ISNUMBER(D29),D29,"n.d.")</f>
        <v>56.757547359742645</v>
      </c>
      <c r="E42" s="551">
        <f>IF(ISNUMBER(E29),E29,"n.d.")</f>
        <v>59.507355345000526</v>
      </c>
      <c r="F42" s="551">
        <f>IF(ISNUMBER(F29),F29,"n.d.")</f>
        <v>80.409855127333529</v>
      </c>
      <c r="G42" s="551">
        <f>IF(ISNUMBER(G29),G29,"n.d.")</f>
        <v>82.882666602796405</v>
      </c>
      <c r="H42" s="551">
        <f>IF(ISNUMBER(H29),H29,"n.d.")</f>
        <v>107.53592419219768</v>
      </c>
    </row>
    <row r="43" spans="1:8" hidden="1">
      <c r="A43" s="537" t="s">
        <v>36</v>
      </c>
      <c r="B43" s="537" t="s">
        <v>1468</v>
      </c>
      <c r="C43" s="551">
        <f>IF(ISNUMBER(C30),C30,"n.d.")</f>
        <v>6.2419266139335603</v>
      </c>
      <c r="D43" s="551">
        <f>IF(ISNUMBER(D30),D30,"n.d.")</f>
        <v>24.231797257079439</v>
      </c>
      <c r="E43" s="551">
        <f>IF(ISNUMBER(E30),E30,"n.d.")</f>
        <v>16.129903994204017</v>
      </c>
      <c r="F43" s="551">
        <f>IF(ISNUMBER(F30),F30,"n.d.")</f>
        <v>12.592152865781308</v>
      </c>
      <c r="G43" s="551">
        <f>IF(ISNUMBER(G30),G30,"n.d.")</f>
        <v>20.005882800215872</v>
      </c>
      <c r="H43" s="551">
        <f>IF(ISNUMBER(H30),H30,"n.d.")</f>
        <v>9.1559919871137598</v>
      </c>
    </row>
    <row r="44" spans="1:8" hidden="1">
      <c r="A44" s="537" t="s">
        <v>17</v>
      </c>
      <c r="B44" s="537" t="s">
        <v>1468</v>
      </c>
      <c r="C44" s="551">
        <f>IF(ISNUMBER(C31),C31,"n.d.")</f>
        <v>2.1927393807054996E-2</v>
      </c>
      <c r="D44" s="551">
        <f>IF(ISNUMBER(D31),D31,"n.d.")</f>
        <v>1.9528200781840001E-2</v>
      </c>
      <c r="E44" s="551">
        <f>IF(ISNUMBER(E31),E31,"n.d.")</f>
        <v>1.6831572524180001E-2</v>
      </c>
      <c r="F44" s="551">
        <f>IF(ISNUMBER(F31),F31,"n.d.")</f>
        <v>2.5690042036920002E-2</v>
      </c>
      <c r="G44" s="551">
        <f>IF(ISNUMBER(G31),G31,"n.d.")</f>
        <v>2.5944977832125002E-2</v>
      </c>
      <c r="H44" s="551">
        <f>IF(ISNUMBER(H31),H31,"n.d.")</f>
        <v>2.8672189678130001E-2</v>
      </c>
    </row>
    <row r="45" spans="1:8" hidden="1">
      <c r="A45" s="537" t="s">
        <v>1460</v>
      </c>
      <c r="B45" s="537" t="s">
        <v>1468</v>
      </c>
      <c r="C45" s="547">
        <f>IF(ISNUMBER(C32),C32,"n.d.")</f>
        <v>538679.35632801859</v>
      </c>
      <c r="D45" s="547">
        <f>IF(ISNUMBER(D32),D32,"n.d.")</f>
        <v>465431.56918365834</v>
      </c>
      <c r="E45" s="547">
        <f>IF(ISNUMBER(E32),E32,"n.d.")</f>
        <v>543547.57372634357</v>
      </c>
      <c r="F45" s="547">
        <f>IF(ISNUMBER(F32),F32,"n.d.")</f>
        <v>594795.02116922324</v>
      </c>
      <c r="G45" s="547">
        <f>IF(ISNUMBER(G32),G32,"n.d.")</f>
        <v>661029.59860397479</v>
      </c>
      <c r="H45" s="547">
        <f>IF(ISNUMBER(H32),H32,"n.d.")</f>
        <v>800501.53274916823</v>
      </c>
    </row>
    <row r="46" spans="1:8" hidden="1">
      <c r="A46" s="537"/>
      <c r="B46" s="537"/>
      <c r="C46" s="548"/>
      <c r="D46" s="548"/>
      <c r="E46" s="548"/>
      <c r="F46" s="548"/>
      <c r="G46" s="548"/>
      <c r="H46" s="548"/>
    </row>
    <row r="47" spans="1:8" ht="19.5" hidden="1" customHeight="1">
      <c r="A47" s="613" t="s">
        <v>1470</v>
      </c>
      <c r="B47" s="613"/>
      <c r="C47" s="613"/>
      <c r="D47" s="613"/>
      <c r="E47" s="613"/>
      <c r="F47" s="613"/>
      <c r="G47" s="613"/>
      <c r="H47" s="613"/>
    </row>
    <row r="48" spans="1:8" hidden="1">
      <c r="A48" s="526" t="s">
        <v>1444</v>
      </c>
      <c r="B48" s="526" t="s">
        <v>1445</v>
      </c>
      <c r="C48" s="526" t="s">
        <v>1446</v>
      </c>
      <c r="D48" s="526" t="s">
        <v>1447</v>
      </c>
      <c r="E48" s="526" t="s">
        <v>1448</v>
      </c>
      <c r="F48" s="526" t="s">
        <v>1449</v>
      </c>
      <c r="G48" s="526" t="s">
        <v>5</v>
      </c>
      <c r="H48" s="526" t="s">
        <v>1450</v>
      </c>
    </row>
    <row r="49" spans="1:8" hidden="1">
      <c r="A49" s="537" t="s">
        <v>11</v>
      </c>
      <c r="B49" s="537" t="s">
        <v>49</v>
      </c>
      <c r="C49" s="552">
        <v>0</v>
      </c>
      <c r="D49" s="552">
        <v>0</v>
      </c>
      <c r="E49" s="552">
        <v>0</v>
      </c>
      <c r="F49" s="552">
        <v>0</v>
      </c>
      <c r="G49" s="552">
        <v>0</v>
      </c>
      <c r="H49" s="552">
        <v>0</v>
      </c>
    </row>
    <row r="50" spans="1:8" hidden="1">
      <c r="A50" s="537" t="s">
        <v>12</v>
      </c>
      <c r="B50" s="537" t="s">
        <v>49</v>
      </c>
      <c r="C50" s="552">
        <f>IF(ISNUMBER('Datos de origen 2026'!D1268),'Datos de origen 2026'!D1268,"n.d.")</f>
        <v>0.01</v>
      </c>
      <c r="D50" s="552">
        <f>IF(ISNUMBER('Datos de origen 2026'!E1268),'Datos de origen 2026'!E1268,"n.d.")</f>
        <v>0.01</v>
      </c>
      <c r="E50" s="552">
        <f>IF(ISNUMBER('Datos de origen 2026'!F1268),'Datos de origen 2026'!F1268,"n.d.")</f>
        <v>0.01</v>
      </c>
      <c r="F50" s="552">
        <f>IF(ISNUMBER('Datos de origen 2026'!G1268),'Datos de origen 2026'!G1268,"n.d.")</f>
        <v>0.01</v>
      </c>
      <c r="G50" s="552">
        <f>IF(ISNUMBER('Datos de origen 2026'!H1268),'Datos de origen 2026'!H1268,"n.d.")</f>
        <v>0.01</v>
      </c>
      <c r="H50" s="552">
        <f>IF(ISNUMBER('Datos de origen 2026'!I1268),'Datos de origen 2026'!I1268,"n.d.")</f>
        <v>0.01</v>
      </c>
    </row>
    <row r="51" spans="1:8" hidden="1">
      <c r="A51" s="537" t="s">
        <v>34</v>
      </c>
      <c r="B51" s="537" t="s">
        <v>49</v>
      </c>
      <c r="C51" s="552">
        <f>IF(ISNUMBER('Datos de origen 2026'!D1275),'Datos de origen 2026'!D1275,"n.d.")</f>
        <v>0.01</v>
      </c>
      <c r="D51" s="552">
        <f>IF(ISNUMBER('Datos de origen 2026'!E1275),'Datos de origen 2026'!E1275,"n.d.")</f>
        <v>0.01</v>
      </c>
      <c r="E51" s="552">
        <f>IF(ISNUMBER('Datos de origen 2026'!F1275),'Datos de origen 2026'!F1275,"n.d.")</f>
        <v>0.01</v>
      </c>
      <c r="F51" s="552">
        <f>IF(ISNUMBER('Datos de origen 2026'!G1275),'Datos de origen 2026'!G1275,"n.d.")</f>
        <v>0.01</v>
      </c>
      <c r="G51" s="552">
        <f>IF(ISNUMBER('Datos de origen 2026'!H1275),'Datos de origen 2026'!H1275,"n.d.")</f>
        <v>0.01</v>
      </c>
      <c r="H51" s="552">
        <f>IF(ISNUMBER('Datos de origen 2026'!I1275),'Datos de origen 2026'!I1275,"n.d.")</f>
        <v>0.01</v>
      </c>
    </row>
    <row r="52" spans="1:8" hidden="1">
      <c r="A52" s="537" t="s">
        <v>1451</v>
      </c>
      <c r="B52" s="537" t="s">
        <v>49</v>
      </c>
      <c r="C52" s="552">
        <f>IF(ISNUMBER('Datos de origen 2026'!D1282),'Datos de origen 2026'!D1282,"n.d.")</f>
        <v>2.7847396268448903E-3</v>
      </c>
      <c r="D52" s="552">
        <f>IF(ISNUMBER('Datos de origen 2026'!E1282),'Datos de origen 2026'!E1282,"n.d.")</f>
        <v>2.7847396268448903E-3</v>
      </c>
      <c r="E52" s="552">
        <f>IF(ISNUMBER('Datos de origen 2026'!F1282),'Datos de origen 2026'!F1282,"n.d.")</f>
        <v>2.7847396268448903E-3</v>
      </c>
      <c r="F52" s="552">
        <f>IF(ISNUMBER('Datos de origen 2026'!G1282),'Datos de origen 2026'!G1282,"n.d.")</f>
        <v>2.7847396268448903E-3</v>
      </c>
      <c r="G52" s="552">
        <f>IF(ISNUMBER('Datos de origen 2026'!H1282),'Datos de origen 2026'!H1282,"n.d.")</f>
        <v>2.7847396268448903E-3</v>
      </c>
      <c r="H52" s="552">
        <f>IF(ISNUMBER('Datos de origen 2026'!I1282),'Datos de origen 2026'!I1282,"n.d.")</f>
        <v>2.7847396268448903E-3</v>
      </c>
    </row>
    <row r="53" spans="1:8" hidden="1">
      <c r="A53" s="537" t="s">
        <v>14</v>
      </c>
      <c r="B53" s="537" t="s">
        <v>49</v>
      </c>
      <c r="C53" s="552">
        <f>IF(ISNUMBER('Datos de origen 2026'!D1247),'Datos de origen 2026'!D1247,"n.d.")</f>
        <v>0.11</v>
      </c>
      <c r="D53" s="552">
        <f>IF(ISNUMBER('Datos de origen 2026'!E1247),'Datos de origen 2026'!E1247,"n.d.")</f>
        <v>0.11</v>
      </c>
      <c r="E53" s="552">
        <f>IF(ISNUMBER('Datos de origen 2026'!F1247),'Datos de origen 2026'!F1247,"n.d.")</f>
        <v>0.11</v>
      </c>
      <c r="F53" s="552">
        <f>IF(ISNUMBER('Datos de origen 2026'!G1247),'Datos de origen 2026'!G1247,"n.d.")</f>
        <v>0.11</v>
      </c>
      <c r="G53" s="552">
        <f>IF(ISNUMBER('Datos de origen 2026'!H1247),'Datos de origen 2026'!H1247,"n.d.")</f>
        <v>0.11</v>
      </c>
      <c r="H53" s="552">
        <f>IF(ISNUMBER('Datos de origen 2026'!I1247),'Datos de origen 2026'!I1247,"n.d.")</f>
        <v>0.11</v>
      </c>
    </row>
    <row r="54" spans="1:8" hidden="1">
      <c r="A54" s="537" t="s">
        <v>16</v>
      </c>
      <c r="B54" s="537" t="s">
        <v>49</v>
      </c>
      <c r="C54" s="552">
        <f>IF(ISNUMBER('Datos de origen 2026'!D1261),'Datos de origen 2026'!D1261,"n.d.")</f>
        <v>8.0999999999999996E-3</v>
      </c>
      <c r="D54" s="552">
        <f>IF(ISNUMBER('Datos de origen 2026'!E1261),'Datos de origen 2026'!E1261,"n.d.")</f>
        <v>8.0999999999999996E-3</v>
      </c>
      <c r="E54" s="552">
        <f>IF(ISNUMBER('Datos de origen 2026'!F1261),'Datos de origen 2026'!F1261,"n.d.")</f>
        <v>8.0999999999999996E-3</v>
      </c>
      <c r="F54" s="552">
        <f>IF(ISNUMBER('Datos de origen 2026'!G1261),'Datos de origen 2026'!G1261,"n.d.")</f>
        <v>8.0999999999999996E-3</v>
      </c>
      <c r="G54" s="552">
        <f>IF(ISNUMBER('Datos de origen 2026'!H1261),'Datos de origen 2026'!H1261,"n.d.")</f>
        <v>8.0999999999999996E-3</v>
      </c>
      <c r="H54" s="552">
        <f>IF(ISNUMBER('Datos de origen 2026'!I1261),'Datos de origen 2026'!I1261,"n.d.")</f>
        <v>8.0999999999999996E-3</v>
      </c>
    </row>
    <row r="55" spans="1:8" hidden="1">
      <c r="A55" s="537" t="s">
        <v>15</v>
      </c>
      <c r="B55" s="537" t="s">
        <v>49</v>
      </c>
      <c r="C55" s="552">
        <f>IF(ISNUMBER('Datos de origen 2026'!D1254),'Datos de origen 2026'!D1254,"n.d.")</f>
        <v>7.6999999999999999E-2</v>
      </c>
      <c r="D55" s="552">
        <f>IF(ISNUMBER('Datos de origen 2026'!E1254),'Datos de origen 2026'!E1254,"n.d.")</f>
        <v>7.6999999999999999E-2</v>
      </c>
      <c r="E55" s="552">
        <f>IF(ISNUMBER('Datos de origen 2026'!F1254),'Datos de origen 2026'!F1254,"n.d.")</f>
        <v>7.6999999999999999E-2</v>
      </c>
      <c r="F55" s="552">
        <f>IF(ISNUMBER('Datos de origen 2026'!G1254),'Datos de origen 2026'!G1254,"n.d.")</f>
        <v>7.6999999999999999E-2</v>
      </c>
      <c r="G55" s="552">
        <f>IF(ISNUMBER('Datos de origen 2026'!H1254),'Datos de origen 2026'!H1254,"n.d.")</f>
        <v>7.6999999999999999E-2</v>
      </c>
      <c r="H55" s="552">
        <f>IF(ISNUMBER('Datos de origen 2026'!I1254),'Datos de origen 2026'!I1254,"n.d.")</f>
        <v>7.6999999999999999E-2</v>
      </c>
    </row>
    <row r="56" spans="1:8" hidden="1">
      <c r="A56" s="537" t="s">
        <v>36</v>
      </c>
      <c r="B56" s="537" t="s">
        <v>49</v>
      </c>
      <c r="C56" s="552">
        <f>IF(ISNUMBER('Datos de origen 2026'!D1289),'Datos de origen 2026'!D1289,"n.d.")</f>
        <v>4.2641325536062387E-4</v>
      </c>
      <c r="D56" s="552">
        <f>IF(ISNUMBER('Datos de origen 2026'!E1289),'Datos de origen 2026'!E1289,"n.d.")</f>
        <v>4.2641325536062387E-4</v>
      </c>
      <c r="E56" s="552">
        <f>IF(ISNUMBER('Datos de origen 2026'!F1289),'Datos de origen 2026'!F1289,"n.d.")</f>
        <v>4.2641325536062387E-4</v>
      </c>
      <c r="F56" s="552">
        <f>IF(ISNUMBER('Datos de origen 2026'!G1289),'Datos de origen 2026'!G1289,"n.d.")</f>
        <v>4.2641325536062387E-4</v>
      </c>
      <c r="G56" s="552">
        <f>IF(ISNUMBER('Datos de origen 2026'!H1289),'Datos de origen 2026'!H1289,"n.d.")</f>
        <v>4.2641325536062387E-4</v>
      </c>
      <c r="H56" s="552">
        <f>IF(ISNUMBER('Datos de origen 2026'!I1289),'Datos de origen 2026'!I1289,"n.d.")</f>
        <v>4.2641325536062387E-4</v>
      </c>
    </row>
    <row r="57" spans="1:8" hidden="1">
      <c r="A57" s="537" t="s">
        <v>17</v>
      </c>
      <c r="B57" s="537" t="s">
        <v>49</v>
      </c>
      <c r="C57" s="552">
        <f>IF(ISNUMBER('Datos de origen 2026'!D1296),'Datos de origen 2026'!D1296,"n.d.")</f>
        <v>0</v>
      </c>
      <c r="D57" s="552">
        <f>IF(ISNUMBER('Datos de origen 2026'!E1296),'Datos de origen 2026'!E1296,"n.d.")</f>
        <v>0</v>
      </c>
      <c r="E57" s="552">
        <f>IF(ISNUMBER('Datos de origen 2026'!F1296),'Datos de origen 2026'!F1296,"n.d.")</f>
        <v>0</v>
      </c>
      <c r="F57" s="552">
        <f>IF(ISNUMBER('Datos de origen 2026'!G1296),'Datos de origen 2026'!G1296,"n.d.")</f>
        <v>0</v>
      </c>
      <c r="G57" s="552">
        <f>IF(ISNUMBER('Datos de origen 2026'!H1296),'Datos de origen 2026'!H1296,"n.d.")</f>
        <v>0</v>
      </c>
      <c r="H57" s="552">
        <f>IF(ISNUMBER('Datos de origen 2026'!I1296),'Datos de origen 2026'!I1296,"n.d.")</f>
        <v>0</v>
      </c>
    </row>
    <row r="58" spans="1:8" hidden="1">
      <c r="A58" s="537" t="s">
        <v>1460</v>
      </c>
      <c r="B58" s="537" t="s">
        <v>49</v>
      </c>
      <c r="C58" s="552">
        <f>IF(ISNUMBER('Datos de origen 2026'!D1303),'Datos de origen 2026'!D1303,"n.d.")</f>
        <v>117.09688808000001</v>
      </c>
      <c r="D58" s="552">
        <f>IF(ISNUMBER('Datos de origen 2026'!E1303),'Datos de origen 2026'!E1303,"n.d.")</f>
        <v>117.09688808000001</v>
      </c>
      <c r="E58" s="552">
        <f>IF(ISNUMBER('Datos de origen 2026'!F1303),'Datos de origen 2026'!F1303,"n.d.")</f>
        <v>117.09688808000001</v>
      </c>
      <c r="F58" s="552">
        <f>IF(ISNUMBER('Datos de origen 2026'!G1303),'Datos de origen 2026'!G1303,"n.d.")</f>
        <v>117.09688808000001</v>
      </c>
      <c r="G58" s="552">
        <f>IF(ISNUMBER('Datos de origen 2026'!H1303),'Datos de origen 2026'!H1303,"n.d.")</f>
        <v>117.09688808000001</v>
      </c>
      <c r="H58" s="552">
        <f>IF(ISNUMBER('Datos de origen 2026'!I1303),'Datos de origen 2026'!I1303,"n.d.")</f>
        <v>117.09688808000001</v>
      </c>
    </row>
    <row r="59" spans="1:8" hidden="1">
      <c r="A59" s="537"/>
      <c r="B59" s="537"/>
      <c r="C59" s="548"/>
      <c r="D59" s="548"/>
      <c r="E59" s="548"/>
      <c r="F59" s="548"/>
      <c r="G59" s="548"/>
      <c r="H59" s="548"/>
    </row>
    <row r="60" spans="1:8" hidden="1">
      <c r="A60" s="537" t="s">
        <v>1471</v>
      </c>
      <c r="B60" s="537" t="s">
        <v>1472</v>
      </c>
      <c r="C60" s="548">
        <v>2000</v>
      </c>
      <c r="D60" s="548"/>
      <c r="E60" s="548"/>
      <c r="F60" s="548"/>
      <c r="G60" s="548"/>
      <c r="H60" s="548"/>
    </row>
    <row r="61" spans="1:8" hidden="1">
      <c r="A61" s="537" t="s">
        <v>1473</v>
      </c>
      <c r="B61" s="537" t="s">
        <v>1474</v>
      </c>
      <c r="C61" s="548">
        <v>1000000</v>
      </c>
      <c r="D61" s="548"/>
      <c r="E61" s="548"/>
      <c r="F61" s="548"/>
      <c r="G61" s="548"/>
      <c r="H61" s="548"/>
    </row>
    <row r="62" spans="1:8" hidden="1">
      <c r="A62" s="537" t="s">
        <v>1475</v>
      </c>
      <c r="B62" s="537" t="s">
        <v>1476</v>
      </c>
      <c r="C62" s="548">
        <v>42</v>
      </c>
      <c r="D62" s="548"/>
      <c r="E62" s="548"/>
      <c r="F62" s="548"/>
      <c r="G62" s="548"/>
      <c r="H62" s="548"/>
    </row>
    <row r="63" spans="1:8" hidden="1">
      <c r="A63" s="537"/>
      <c r="B63" s="537"/>
      <c r="C63" s="548"/>
      <c r="D63" s="548"/>
      <c r="E63" s="548"/>
      <c r="F63" s="548"/>
      <c r="G63" s="548"/>
      <c r="H63" s="548"/>
    </row>
    <row r="64" spans="1:8" ht="19.5" hidden="1" customHeight="1">
      <c r="A64" s="609" t="s">
        <v>1477</v>
      </c>
      <c r="B64" s="609"/>
      <c r="C64" s="546"/>
      <c r="D64" s="546"/>
      <c r="E64" s="546"/>
      <c r="F64" s="546"/>
      <c r="G64" s="546"/>
      <c r="H64" s="546"/>
    </row>
    <row r="65" spans="1:8" hidden="1">
      <c r="A65" s="526" t="s">
        <v>1444</v>
      </c>
      <c r="B65" s="526" t="s">
        <v>1445</v>
      </c>
      <c r="C65" s="526" t="s">
        <v>1446</v>
      </c>
      <c r="D65" s="526" t="s">
        <v>1447</v>
      </c>
      <c r="E65" s="526" t="s">
        <v>1448</v>
      </c>
      <c r="F65" s="526" t="s">
        <v>1449</v>
      </c>
      <c r="G65" s="526" t="s">
        <v>5</v>
      </c>
      <c r="H65" s="526" t="s">
        <v>1450</v>
      </c>
    </row>
    <row r="66" spans="1:8" hidden="1">
      <c r="A66" s="537" t="s">
        <v>1478</v>
      </c>
      <c r="B66" s="537" t="s">
        <v>88</v>
      </c>
      <c r="C66" s="547">
        <f>IF(ISNUMBER('Datos de origen 2026'!D224),'Datos de origen 2026'!D224,"n.d.")</f>
        <v>0</v>
      </c>
      <c r="D66" s="547">
        <f>IF(ISNUMBER('Datos de origen 2026'!E224),'Datos de origen 2026'!E224,"n.d.")</f>
        <v>1967839.86</v>
      </c>
      <c r="E66" s="547">
        <f>IF(ISNUMBER('Datos de origen 2026'!F224),'Datos de origen 2026'!F224,"n.d.")</f>
        <v>2316600.3000000003</v>
      </c>
      <c r="F66" s="547">
        <f>IF(ISNUMBER('Datos de origen 2026'!G224),'Datos de origen 2026'!G224,"n.d.")</f>
        <v>71616.72</v>
      </c>
      <c r="G66" s="547">
        <f>IF(ISNUMBER('Datos de origen 2026'!H224),'Datos de origen 2026'!H224,"n.d.")</f>
        <v>692202.42</v>
      </c>
      <c r="H66" s="547">
        <f>IF(ISNUMBER('Datos de origen 2026'!I224),'Datos de origen 2026'!I224,"n.d.")</f>
        <v>490512.54</v>
      </c>
    </row>
    <row r="67" spans="1:8" hidden="1">
      <c r="A67" s="537" t="s">
        <v>1479</v>
      </c>
      <c r="B67" s="537" t="s">
        <v>68</v>
      </c>
      <c r="C67" s="553">
        <f>IF(ISNUMBER('Datos de origen 2026'!D225),'Datos de origen 2026'!D225,"n.d.")</f>
        <v>1554213850</v>
      </c>
      <c r="D67" s="553">
        <f>IF(ISNUMBER('Datos de origen 2026'!E225),'Datos de origen 2026'!E225,"n.d.")</f>
        <v>1492830</v>
      </c>
      <c r="E67" s="553">
        <f>IF(ISNUMBER('Datos de origen 2026'!F225),'Datos de origen 2026'!F225,"n.d.")</f>
        <v>1819735664.8499999</v>
      </c>
      <c r="F67" s="553">
        <f>IF(ISNUMBER('Datos de origen 2026'!G225),'Datos de origen 2026'!G225,"n.d.")</f>
        <v>1802878930.3499999</v>
      </c>
      <c r="G67" s="553">
        <f>IF(ISNUMBER('Datos de origen 2026'!H225),'Datos de origen 2026'!H225,"n.d.")</f>
        <v>1879125480</v>
      </c>
      <c r="H67" s="553">
        <f>IF(ISNUMBER('Datos de origen 2026'!I225),'Datos de origen 2026'!I225,"n.d.")</f>
        <v>2234892060</v>
      </c>
    </row>
    <row r="68" spans="1:8" hidden="1">
      <c r="A68" s="537" t="s">
        <v>1480</v>
      </c>
      <c r="B68" s="537" t="s">
        <v>88</v>
      </c>
      <c r="C68" s="547">
        <f>IF(ISNUMBER('Datos de origen 2026'!D316),'Datos de origen 2026'!D316,"n.d.")</f>
        <v>897043.98</v>
      </c>
      <c r="D68" s="547">
        <f>IF(ISNUMBER('Datos de origen 2026'!E316),'Datos de origen 2026'!E316,"n.d.")</f>
        <v>7883312.2199999997</v>
      </c>
      <c r="E68" s="547">
        <f>IF(ISNUMBER('Datos de origen 2026'!F316),'Datos de origen 2026'!F316,"n.d.")</f>
        <v>2939540.1</v>
      </c>
      <c r="F68" s="547">
        <f>IF(ISNUMBER('Datos de origen 2026'!G316),'Datos de origen 2026'!G316,"n.d.")</f>
        <v>195657.84</v>
      </c>
      <c r="G68" s="547">
        <f>IF(ISNUMBER('Datos de origen 2026'!H316),'Datos de origen 2026'!H316,"n.d.")</f>
        <v>4968238.8</v>
      </c>
      <c r="H68" s="547">
        <f>IF(ISNUMBER('Datos de origen 2026'!I316),'Datos de origen 2026'!I316,"n.d.")</f>
        <v>1798110.3</v>
      </c>
    </row>
    <row r="69" spans="1:8" hidden="1">
      <c r="A69" s="537" t="s">
        <v>1481</v>
      </c>
      <c r="B69" s="537" t="s">
        <v>68</v>
      </c>
      <c r="C69" s="553">
        <f>IF(ISNUMBER('Datos de origen 2026'!D317),'Datos de origen 2026'!D317,"n.d.")</f>
        <v>742542910</v>
      </c>
      <c r="D69" s="553">
        <f>IF(ISNUMBER('Datos de origen 2026'!E317),'Datos de origen 2026'!E317,"n.d.")</f>
        <v>731915920</v>
      </c>
      <c r="E69" s="553">
        <f>IF(ISNUMBER('Datos de origen 2026'!F317),'Datos de origen 2026'!F317,"n.d.")</f>
        <v>1696905270</v>
      </c>
      <c r="F69" s="553">
        <f>IF(ISNUMBER('Datos de origen 2026'!G317),'Datos de origen 2026'!G317,"n.d.")</f>
        <v>1204545823.6500001</v>
      </c>
      <c r="G69" s="553">
        <f>IF(ISNUMBER('Datos de origen 2026'!H317),'Datos de origen 2026'!H317,"n.d.")</f>
        <v>1145662860</v>
      </c>
      <c r="H69" s="553">
        <f>IF(ISNUMBER('Datos de origen 2026'!I317),'Datos de origen 2026'!I317,"n.d.")</f>
        <v>1965580205.8499999</v>
      </c>
    </row>
    <row r="70" spans="1:8" hidden="1">
      <c r="A70" s="537" t="s">
        <v>1482</v>
      </c>
      <c r="B70" s="537" t="s">
        <v>88</v>
      </c>
      <c r="C70" s="547">
        <f>IF(ISNUMBER('Datos de origen 2026'!D134),'Datos de origen 2026'!D134,"n.d.")</f>
        <v>0</v>
      </c>
      <c r="D70" s="547">
        <f>IF(ISNUMBER('Datos de origen 2026'!E134),'Datos de origen 2026'!E134,"n.d.")</f>
        <v>0</v>
      </c>
      <c r="E70" s="547">
        <f>IF(ISNUMBER('Datos de origen 2026'!F134),'Datos de origen 2026'!F134,"n.d.")</f>
        <v>0</v>
      </c>
      <c r="F70" s="547">
        <f>IF(ISNUMBER('Datos de origen 2026'!G134),'Datos de origen 2026'!G134,"n.d.")</f>
        <v>0</v>
      </c>
      <c r="G70" s="547">
        <f>IF(ISNUMBER('Datos de origen 2026'!H134),'Datos de origen 2026'!H134,"n.d.")</f>
        <v>0</v>
      </c>
      <c r="H70" s="547">
        <f>IF(ISNUMBER('Datos de origen 2026'!I134),'Datos de origen 2026'!I134,"n.d.")</f>
        <v>0</v>
      </c>
    </row>
    <row r="71" spans="1:8" hidden="1">
      <c r="A71" s="537" t="s">
        <v>1483</v>
      </c>
      <c r="B71" s="537" t="s">
        <v>88</v>
      </c>
      <c r="C71" s="547">
        <f>IF(COUNT('Datos de origen 2026'!D505,'Datos de origen 2026'!D506)=2,SUM('Datos de origen 2026'!D505,'Datos de origen 2026'!D506),"n.d.")</f>
        <v>1269731</v>
      </c>
      <c r="D71" s="547">
        <f>IF(COUNT('Datos de origen 2026'!E505,'Datos de origen 2026'!E506)=2,SUM('Datos de origen 2026'!E505,'Datos de origen 2026'!E506),"n.d.")</f>
        <v>2293641.42</v>
      </c>
      <c r="E71" s="547">
        <f>IF(COUNT('Datos de origen 2026'!F505,'Datos de origen 2026'!F506)=2,SUM('Datos de origen 2026'!F505,'Datos de origen 2026'!F506),"n.d.")</f>
        <v>1776309.36</v>
      </c>
      <c r="F71" s="547">
        <f>IF(COUNT('Datos de origen 2026'!G505,'Datos de origen 2026'!G506)=2,SUM('Datos de origen 2026'!G505,'Datos de origen 2026'!G506),"n.d.")</f>
        <v>3445860.18</v>
      </c>
      <c r="G71" s="547">
        <f>IF(COUNT('Datos de origen 2026'!H505,'Datos de origen 2026'!H506)=2,SUM('Datos de origen 2026'!H505,'Datos de origen 2026'!H506),"n.d.")</f>
        <v>2858005.5</v>
      </c>
      <c r="H71" s="547">
        <f>IF(COUNT('Datos de origen 2026'!I505,'Datos de origen 2026'!I506)=2,SUM('Datos de origen 2026'!I505,'Datos de origen 2026'!I506),"n.d.")</f>
        <v>1213454.76</v>
      </c>
    </row>
    <row r="72" spans="1:8" hidden="1">
      <c r="A72" s="537" t="s">
        <v>1484</v>
      </c>
      <c r="B72" s="537" t="s">
        <v>88</v>
      </c>
      <c r="C72" s="547">
        <f>IF(ISNUMBER('Datos de origen 2026'!D579),'Datos de origen 2026'!D579,"n.d.")</f>
        <v>240889</v>
      </c>
      <c r="D72" s="547">
        <f>IF(ISNUMBER('Datos de origen 2026'!E579),'Datos de origen 2026'!E579,"n.d.")</f>
        <v>384448.26</v>
      </c>
      <c r="E72" s="547">
        <f>IF(ISNUMBER('Datos de origen 2026'!F579),'Datos de origen 2026'!F579,"n.d.")</f>
        <v>1667685.18</v>
      </c>
      <c r="F72" s="547">
        <f>IF(ISNUMBER('Datos de origen 2026'!G579),'Datos de origen 2026'!G579,"n.d.")</f>
        <v>1450441.86</v>
      </c>
      <c r="G72" s="547">
        <f>IF(ISNUMBER('Datos de origen 2026'!H579),'Datos de origen 2026'!H579,"n.d.")</f>
        <v>1632699.18</v>
      </c>
      <c r="H72" s="547">
        <f>IF(ISNUMBER('Datos de origen 2026'!I579),'Datos de origen 2026'!I579,"n.d.")</f>
        <v>459277.14</v>
      </c>
    </row>
    <row r="73" spans="1:8" hidden="1">
      <c r="A73" s="537" t="s">
        <v>1485</v>
      </c>
      <c r="B73" s="537" t="s">
        <v>68</v>
      </c>
      <c r="C73" s="553">
        <f>IF(ISNUMBER('Datos de origen 2026'!D580),'Datos de origen 2026'!D580,"n.d.")</f>
        <v>987272793.86000001</v>
      </c>
      <c r="D73" s="553">
        <f>IF(ISNUMBER('Datos de origen 2026'!E580),'Datos de origen 2026'!E580,"n.d.")</f>
        <v>928901636.72000003</v>
      </c>
      <c r="E73" s="553">
        <f>IF(ISNUMBER('Datos de origen 2026'!F580),'Datos de origen 2026'!F580,"n.d.")</f>
        <v>704587502.38</v>
      </c>
      <c r="F73" s="553">
        <f>IF(ISNUMBER('Datos de origen 2026'!G580),'Datos de origen 2026'!G580,"n.d.")</f>
        <v>850329086.03999996</v>
      </c>
      <c r="G73" s="553">
        <f>IF(ISNUMBER('Datos de origen 2026'!H580),'Datos de origen 2026'!H580,"n.d.")</f>
        <v>865899021.70000005</v>
      </c>
      <c r="H73" s="553">
        <f>IF(ISNUMBER('Datos de origen 2026'!I580),'Datos de origen 2026'!I580,"n.d.")</f>
        <v>949989652.37</v>
      </c>
    </row>
    <row r="74" spans="1:8" hidden="1">
      <c r="A74" s="537" t="s">
        <v>1486</v>
      </c>
      <c r="B74" s="537" t="s">
        <v>88</v>
      </c>
      <c r="C74" s="547">
        <f>IF(ISNUMBER('Datos de origen 2026'!D673),'Datos de origen 2026'!D673,"n.d.")</f>
        <v>0</v>
      </c>
      <c r="D74" s="547">
        <f>IF(ISNUMBER('Datos de origen 2026'!E673),'Datos de origen 2026'!E673,"n.d.")</f>
        <v>0</v>
      </c>
      <c r="E74" s="547">
        <f>IF(ISNUMBER('Datos de origen 2026'!F673),'Datos de origen 2026'!F673,"n.d.")</f>
        <v>0</v>
      </c>
      <c r="F74" s="547">
        <f>IF(ISNUMBER('Datos de origen 2026'!G673),'Datos de origen 2026'!G673,"n.d.")</f>
        <v>0</v>
      </c>
      <c r="G74" s="547">
        <f>IF(ISNUMBER('Datos de origen 2026'!H673),'Datos de origen 2026'!H673,"n.d.")</f>
        <v>0</v>
      </c>
      <c r="H74" s="547">
        <f>IF(ISNUMBER('Datos de origen 2026'!I673),'Datos de origen 2026'!I673,"n.d.")</f>
        <v>0</v>
      </c>
    </row>
    <row r="75" spans="1:8" hidden="1">
      <c r="A75" s="537" t="s">
        <v>1487</v>
      </c>
      <c r="B75" s="537" t="s">
        <v>68</v>
      </c>
      <c r="C75" s="553">
        <f>IF(ISNUMBER('Datos de origen 2026'!D674),'Datos de origen 2026'!D674,"n.d.")</f>
        <v>0</v>
      </c>
      <c r="D75" s="553">
        <f>IF(ISNUMBER('Datos de origen 2026'!E674),'Datos de origen 2026'!E674,"n.d.")</f>
        <v>0</v>
      </c>
      <c r="E75" s="553">
        <f>IF(ISNUMBER('Datos de origen 2026'!F674),'Datos de origen 2026'!F674,"n.d.")</f>
        <v>0</v>
      </c>
      <c r="F75" s="553">
        <f>IF(ISNUMBER('Datos de origen 2026'!G674),'Datos de origen 2026'!G674,"n.d.")</f>
        <v>1E-4</v>
      </c>
      <c r="G75" s="553">
        <f>IF(ISNUMBER('Datos de origen 2026'!H674),'Datos de origen 2026'!H674,"n.d.")</f>
        <v>0</v>
      </c>
      <c r="H75" s="553">
        <f>IF(ISNUMBER('Datos de origen 2026'!I674),'Datos de origen 2026'!I674,"n.d.")</f>
        <v>916670375.03999996</v>
      </c>
    </row>
    <row r="76" spans="1:8" hidden="1">
      <c r="A76" s="537" t="s">
        <v>1488</v>
      </c>
      <c r="B76" s="537" t="s">
        <v>88</v>
      </c>
      <c r="C76" s="547">
        <f>IF(ISNUMBER('Datos de origen 2026'!D914),'Datos de origen 2026'!D914,"n.d.")</f>
        <v>11653643</v>
      </c>
      <c r="D76" s="547">
        <f>IF(ISNUMBER('Datos de origen 2026'!E914),'Datos de origen 2026'!E914,"n.d.")</f>
        <v>8524821.9000000004</v>
      </c>
      <c r="E76" s="547">
        <f>IF(ISNUMBER('Datos de origen 2026'!F914),'Datos de origen 2026'!F914,"n.d.")</f>
        <v>9754754.9399999995</v>
      </c>
      <c r="F76" s="547">
        <f>IF(ISNUMBER('Datos de origen 2026'!G914),'Datos de origen 2026'!G914,"n.d.")</f>
        <v>8788477</v>
      </c>
      <c r="G76" s="547">
        <f>IF(ISNUMBER('Datos de origen 2026'!H914),'Datos de origen 2026'!H914,"n.d.")</f>
        <v>11219708.639999999</v>
      </c>
      <c r="H76" s="547">
        <f>IF(ISNUMBER('Datos de origen 2026'!I914),'Datos de origen 2026'!I914,"n.d.")</f>
        <v>11128871.039999999</v>
      </c>
    </row>
    <row r="77" spans="1:8" hidden="1">
      <c r="A77" s="537" t="s">
        <v>1489</v>
      </c>
      <c r="B77" s="537" t="s">
        <v>88</v>
      </c>
      <c r="C77" s="547">
        <f>IF(ISNUMBER('Datos de origen 2026'!D915),'Datos de origen 2026'!D915,"n.d.")</f>
        <v>4126785</v>
      </c>
      <c r="D77" s="547">
        <f>IF(ISNUMBER('Datos de origen 2026'!E915),'Datos de origen 2026'!E915,"n.d.")</f>
        <v>3476405</v>
      </c>
      <c r="E77" s="547">
        <f>IF(ISNUMBER('Datos de origen 2026'!F915),'Datos de origen 2026'!F915,"n.d.")</f>
        <v>3189609</v>
      </c>
      <c r="F77" s="547">
        <f>IF(ISNUMBER('Datos de origen 2026'!G915),'Datos de origen 2026'!G915,"n.d.")</f>
        <v>4272437</v>
      </c>
      <c r="G77" s="547">
        <f>IF(ISNUMBER('Datos de origen 2026'!H915),'Datos de origen 2026'!H915,"n.d.")</f>
        <v>4375752</v>
      </c>
      <c r="H77" s="547">
        <f>IF(ISNUMBER('Datos de origen 2026'!I915),'Datos de origen 2026'!I915,"n.d.")</f>
        <v>4752539</v>
      </c>
    </row>
    <row r="78" spans="1:8" hidden="1">
      <c r="A78" s="537" t="s">
        <v>1490</v>
      </c>
      <c r="B78" s="537" t="s">
        <v>88</v>
      </c>
      <c r="C78" s="547">
        <f>IF(ISNUMBER('Datos de origen 2026'!D1140),'Datos de origen 2026'!D1140,"n.d.")</f>
        <v>8112322</v>
      </c>
      <c r="D78" s="547">
        <f>IF(ISNUMBER('Datos de origen 2026'!E1140),'Datos de origen 2026'!E1140,"n.d.")</f>
        <v>4217354</v>
      </c>
      <c r="E78" s="547">
        <f>IF(ISNUMBER('Datos de origen 2026'!F1140),'Datos de origen 2026'!F1140,"n.d.")</f>
        <v>26297</v>
      </c>
      <c r="F78" s="547">
        <f>IF(ISNUMBER('Datos de origen 2026'!G1140),'Datos de origen 2026'!G1140,"n.d.")</f>
        <v>5487594</v>
      </c>
      <c r="G78" s="547">
        <f>IF(ISNUMBER('Datos de origen 2026'!H1140),'Datos de origen 2026'!H1140,"n.d.")</f>
        <v>6327704</v>
      </c>
      <c r="H78" s="547">
        <f>IF(ISNUMBER('Datos de origen 2026'!I1140),'Datos de origen 2026'!I1140,"n.d.")</f>
        <v>12237914</v>
      </c>
    </row>
    <row r="79" spans="1:8" hidden="1">
      <c r="A79" s="537" t="s">
        <v>1491</v>
      </c>
      <c r="B79" s="537" t="s">
        <v>88</v>
      </c>
      <c r="C79" s="547">
        <f>IF(ISNUMBER('Datos de origen 2026'!D1141),'Datos de origen 2026'!D1141,"n.d.")</f>
        <v>198463</v>
      </c>
      <c r="D79" s="547">
        <f>IF(ISNUMBER('Datos de origen 2026'!E1141),'Datos de origen 2026'!E1141,"n.d.")</f>
        <v>80964</v>
      </c>
      <c r="E79" s="547">
        <f>IF(ISNUMBER('Datos de origen 2026'!F1141),'Datos de origen 2026'!F1141,"n.d.")</f>
        <v>121550</v>
      </c>
      <c r="F79" s="547">
        <f>IF(ISNUMBER('Datos de origen 2026'!G1141),'Datos de origen 2026'!G1141,"n.d.")</f>
        <v>1226779</v>
      </c>
      <c r="G79" s="547">
        <f>IF(ISNUMBER('Datos de origen 2026'!H1141),'Datos de origen 2026'!H1141,"n.d.")</f>
        <v>287954</v>
      </c>
      <c r="H79" s="547">
        <f>IF(ISNUMBER('Datos de origen 2026'!I1141),'Datos de origen 2026'!I1141,"n.d.")</f>
        <v>473204</v>
      </c>
    </row>
    <row r="80" spans="1:8" hidden="1">
      <c r="A80" s="537" t="s">
        <v>1492</v>
      </c>
      <c r="B80" s="537" t="s">
        <v>88</v>
      </c>
      <c r="C80" s="547">
        <f>IF(ISNUMBER('Datos de origen 2026'!D1240),'Datos de origen 2026'!D1240,"n.d.")</f>
        <v>457703</v>
      </c>
      <c r="D80" s="547">
        <f>IF(ISNUMBER('Datos de origen 2026'!E1240),'Datos de origen 2026'!E1240,"n.d.")</f>
        <v>163508</v>
      </c>
      <c r="E80" s="547">
        <f>IF(ISNUMBER('Datos de origen 2026'!F1240),'Datos de origen 2026'!F1240,"n.d.")</f>
        <v>143254</v>
      </c>
      <c r="F80" s="547">
        <f>IF(ISNUMBER('Datos de origen 2026'!G1240),'Datos de origen 2026'!G1240,"n.d.")</f>
        <v>2711027</v>
      </c>
      <c r="G80" s="547">
        <f>IF(ISNUMBER('Datos de origen 2026'!H1240),'Datos de origen 2026'!H1240,"n.d.")</f>
        <v>50551</v>
      </c>
      <c r="H80" s="547">
        <f>IF(ISNUMBER('Datos de origen 2026'!I1240),'Datos de origen 2026'!I1240,"n.d.")</f>
        <v>0</v>
      </c>
    </row>
    <row r="81" spans="1:8" hidden="1">
      <c r="A81" s="537" t="s">
        <v>1493</v>
      </c>
      <c r="B81" s="537" t="s">
        <v>68</v>
      </c>
      <c r="C81" s="551">
        <f>IF(ISNUMBER('Mensual 2026'!C49),'Mensual 2026'!C49,"n.d.")</f>
        <v>0</v>
      </c>
      <c r="D81" s="551">
        <f>IF(ISNUMBER('Mensual 2026'!D49),'Mensual 2026'!D49,"n.d.")</f>
        <v>0</v>
      </c>
      <c r="E81" s="551">
        <f>IF(ISNUMBER('Mensual 2026'!E49),'Mensual 2026'!E49,"n.d.")</f>
        <v>0</v>
      </c>
      <c r="F81" s="551">
        <f>IF(ISNUMBER('Mensual 2026'!F49),'Mensual 2026'!F49,"n.d.")</f>
        <v>0</v>
      </c>
      <c r="G81" s="551">
        <f>IF(ISNUMBER('Mensual 2026'!G49),'Mensual 2026'!G49,"n.d.")</f>
        <v>0</v>
      </c>
      <c r="H81" s="551">
        <f>IF(ISNUMBER('Mensual 2026'!H49),'Mensual 2026'!H49,"n.d.")</f>
        <v>118033.402</v>
      </c>
    </row>
    <row r="82" spans="1:8" hidden="1">
      <c r="A82" s="537" t="s">
        <v>1494</v>
      </c>
      <c r="B82" s="537" t="s">
        <v>88</v>
      </c>
      <c r="C82" s="547">
        <f>IF(ISNUMBER('Datos de origen 2026'!D2403),'Datos de origen 2026'!D2403,"n.d.")</f>
        <v>149807</v>
      </c>
      <c r="D82" s="547">
        <f>IF(COUNT('Datos de origen 2026'!E1592,'Datos de origen 2026'!E1593)=2,SUM('Datos de origen 2026'!E1592,'Datos de origen 2026'!E1593),"n.d.")</f>
        <v>244918</v>
      </c>
      <c r="E82" s="547">
        <f>IF(COUNT('Datos de origen 2026'!F1592,'Datos de origen 2026'!F1593)=2,SUM('Datos de origen 2026'!F1592,'Datos de origen 2026'!F1593),"n.d.")</f>
        <v>781739</v>
      </c>
      <c r="F82" s="547">
        <f>IF(COUNT('Datos de origen 2026'!G2312,'Datos de origen 2026'!G2313)=2,SUM('Datos de origen 2026'!G2312,'Datos de origen 2026'!G2313),"n.d.")</f>
        <v>1534640</v>
      </c>
      <c r="G82" s="547">
        <f>IF(COUNT('Datos de origen 2026'!H1592,'Datos de origen 2026'!H1593)=2,SUM('Datos de origen 2026'!H1592,'Datos de origen 2026'!H1593),"n.d.")</f>
        <v>1317088</v>
      </c>
      <c r="H82" s="547">
        <f>IF(COUNT('Datos de origen 2026'!I1592,'Datos de origen 2026'!I1593)=2,SUM('Datos de origen 2026'!I1592,'Datos de origen 2026'!I1593),"n.d.")</f>
        <v>1275268</v>
      </c>
    </row>
    <row r="83" spans="1:8" hidden="1">
      <c r="A83" s="537" t="s">
        <v>1495</v>
      </c>
      <c r="B83" s="537" t="s">
        <v>88</v>
      </c>
      <c r="C83" s="547">
        <f>IF(COUNT('Datos de origen 2026'!D1796,'Datos de origen 2026'!D1797)=2,SUM('Datos de origen 2026'!D1796,'Datos de origen 2026'!D1797),"n.d.")</f>
        <v>0</v>
      </c>
      <c r="D83" s="547">
        <f>IF(COUNT('Datos de origen 2026'!E1796,'Datos de origen 2026'!E1797)=2,SUM('Datos de origen 2026'!E1796,'Datos de origen 2026'!E1797),"n.d.")</f>
        <v>0</v>
      </c>
      <c r="E83" s="547">
        <f>IF(COUNT('Datos de origen 2026'!F1796,'Datos de origen 2026'!F1797)=2,SUM('Datos de origen 2026'!F1796,'Datos de origen 2026'!F1797),"n.d.")</f>
        <v>32301</v>
      </c>
      <c r="F83" s="547">
        <f>IF(COUNT('Datos de origen 2026'!G1796,'Datos de origen 2026'!G1797)=2,SUM('Datos de origen 2026'!G1796,'Datos de origen 2026'!G1797),"n.d.")</f>
        <v>160037</v>
      </c>
      <c r="G83" s="547">
        <f>IF(COUNT('Datos de origen 2026'!H1796,'Datos de origen 2026'!H1797)=2,SUM('Datos de origen 2026'!H1796,'Datos de origen 2026'!H1797),"n.d.")</f>
        <v>385983</v>
      </c>
      <c r="H83" s="547">
        <f>IF(COUNT('Datos de origen 2026'!I1796,'Datos de origen 2026'!I1797)=2,SUM('Datos de origen 2026'!I1796,'Datos de origen 2026'!I1797),"n.d.")</f>
        <v>491461</v>
      </c>
    </row>
    <row r="84" spans="1:8" hidden="1">
      <c r="A84" s="537" t="s">
        <v>1496</v>
      </c>
      <c r="B84" s="537" t="s">
        <v>88</v>
      </c>
      <c r="C84" s="547">
        <f>IF(COUNT('Datos de origen 2026'!D1880,'Datos de origen 2026'!D1881)=2,SUM('Datos de origen 2026'!D1880,'Datos de origen 2026'!D1881),"n.d.")</f>
        <v>119569</v>
      </c>
      <c r="D84" s="547">
        <f>IF(COUNT('Datos de origen 2026'!E1880,'Datos de origen 2026'!E1881)=2,SUM('Datos de origen 2026'!E1880,'Datos de origen 2026'!E1881),"n.d.")</f>
        <v>0</v>
      </c>
      <c r="E84" s="547">
        <f>IF(COUNT('Datos de origen 2026'!F1880,'Datos de origen 2026'!F1881)=2,SUM('Datos de origen 2026'!F1880,'Datos de origen 2026'!F1881),"n.d.")</f>
        <v>0</v>
      </c>
      <c r="F84" s="547">
        <f>IF(COUNT('Datos de origen 2026'!G1880,'Datos de origen 2026'!G1881)=2,SUM('Datos de origen 2026'!G1880,'Datos de origen 2026'!G1881),"n.d.")</f>
        <v>0</v>
      </c>
      <c r="G84" s="547">
        <f>IF(COUNT('Datos de origen 2026'!H1880,'Datos de origen 2026'!H1881)=2,SUM('Datos de origen 2026'!H1880,'Datos de origen 2026'!H1881),"n.d.")</f>
        <v>0</v>
      </c>
      <c r="H84" s="547">
        <f>IF(COUNT('Datos de origen 2026'!I1880,'Datos de origen 2026'!I1881)=2,SUM('Datos de origen 2026'!I1880,'Datos de origen 2026'!I1881),"n.d.")</f>
        <v>0</v>
      </c>
    </row>
    <row r="85" spans="1:8" hidden="1">
      <c r="A85" s="537" t="s">
        <v>1497</v>
      </c>
      <c r="B85" s="537" t="s">
        <v>88</v>
      </c>
      <c r="C85" s="547">
        <f>IF(COUNT('Datos de origen 2026'!D1964,'Datos de origen 2026'!D1965)=2,SUM('Datos de origen 2026'!D1964,'Datos de origen 2026'!D1965),"n.d.")</f>
        <v>0</v>
      </c>
      <c r="D85" s="547">
        <f>IF(COUNT('Datos de origen 2026'!E1964,'Datos de origen 2026'!E1965)=2,SUM('Datos de origen 2026'!E1964,'Datos de origen 2026'!E1965),"n.d.")</f>
        <v>0</v>
      </c>
      <c r="E85" s="547">
        <f>IF(COUNT('Datos de origen 2026'!F1964,'Datos de origen 2026'!F1965)=2,SUM('Datos de origen 2026'!F1964,'Datos de origen 2026'!F1965),"n.d.")</f>
        <v>0</v>
      </c>
      <c r="F85" s="547">
        <f>IF(COUNT('Datos de origen 2026'!G1964,'Datos de origen 2026'!G1965)=2,SUM('Datos de origen 2026'!G1964,'Datos de origen 2026'!G1965),"n.d.")</f>
        <v>0</v>
      </c>
      <c r="G85" s="547">
        <f>IF(COUNT('Datos de origen 2026'!H1964,'Datos de origen 2026'!H1965)=2,SUM('Datos de origen 2026'!H1964,'Datos de origen 2026'!H1965),"n.d.")</f>
        <v>0</v>
      </c>
      <c r="H85" s="547">
        <f>IF(COUNT('Datos de origen 2026'!I1964,'Datos de origen 2026'!I1965)=2,SUM('Datos de origen 2026'!I1964,'Datos de origen 2026'!I1965),"n.d.")</f>
        <v>0</v>
      </c>
    </row>
    <row r="86" spans="1:8" hidden="1">
      <c r="A86" s="537" t="s">
        <v>1498</v>
      </c>
      <c r="B86" s="537" t="s">
        <v>88</v>
      </c>
      <c r="C86" s="547">
        <f>IF(COUNT('Datos de origen 2026'!D2048,'Datos de origen 2026'!D2049)=2,SUM('Datos de origen 2026'!D2048,'Datos de origen 2026'!D2049),"n.d.")</f>
        <v>0</v>
      </c>
      <c r="D86" s="547">
        <f>IF(COUNT('Datos de origen 2026'!E2048,'Datos de origen 2026'!E2049)=2,SUM('Datos de origen 2026'!E2048,'Datos de origen 2026'!E2049),"n.d.")</f>
        <v>0</v>
      </c>
      <c r="E86" s="547">
        <f>IF(COUNT('Datos de origen 2026'!F2048,'Datos de origen 2026'!F2049)=2,SUM('Datos de origen 2026'!F2048,'Datos de origen 2026'!F2049),"n.d.")</f>
        <v>68064</v>
      </c>
      <c r="F86" s="547">
        <f>IF(COUNT('Datos de origen 2026'!G2048,'Datos de origen 2026'!G2049)=2,SUM('Datos de origen 2026'!G2048,'Datos de origen 2026'!G2049),"n.d.")</f>
        <v>148736</v>
      </c>
      <c r="G86" s="547">
        <f>IF(COUNT('Datos de origen 2026'!H2048,'Datos de origen 2026'!H2049)=2,SUM('Datos de origen 2026'!H2048,'Datos de origen 2026'!H2049),"n.d.")</f>
        <v>173236</v>
      </c>
      <c r="H86" s="547">
        <f>IF(COUNT('Datos de origen 2026'!I2048,'Datos de origen 2026'!I2049)=2,SUM('Datos de origen 2026'!I2048,'Datos de origen 2026'!I2049),"n.d.")</f>
        <v>344374</v>
      </c>
    </row>
    <row r="87" spans="1:8" hidden="1">
      <c r="A87" s="537" t="s">
        <v>1499</v>
      </c>
      <c r="B87" s="537" t="s">
        <v>88</v>
      </c>
      <c r="C87" s="547">
        <f>IF(COUNT('Datos de origen 2026'!D2131,'Datos de origen 2026'!D2132,'Datos de origen 2026'!D2133,'Datos de origen 2026'!D2130)=4,SUM('Datos de origen 2026'!D2131,'Datos de origen 2026'!D2132,'Datos de origen 2026'!D2133,'Datos de origen 2026'!D2130),"n.d.")</f>
        <v>707576</v>
      </c>
      <c r="D87" s="547">
        <f>IF(COUNT('Datos de origen 2026'!E2131,'Datos de origen 2026'!E2132,'Datos de origen 2026'!E2133,'Datos de origen 2026'!E2130)=4,SUM('Datos de origen 2026'!E2131,'Datos de origen 2026'!E2132,'Datos de origen 2026'!E2133,'Datos de origen 2026'!E2130),"n.d.")</f>
        <v>600659</v>
      </c>
      <c r="E87" s="547">
        <f>IF(COUNT('Datos de origen 2026'!F2131,'Datos de origen 2026'!F2132,'Datos de origen 2026'!F2133,'Datos de origen 2026'!F2130)=4,SUM('Datos de origen 2026'!F2131,'Datos de origen 2026'!F2132,'Datos de origen 2026'!F2133,'Datos de origen 2026'!F2130),"n.d.")</f>
        <v>848884</v>
      </c>
      <c r="F87" s="547">
        <f>IF(COUNT('Datos de origen 2026'!G2131,'Datos de origen 2026'!G2132,'Datos de origen 2026'!G2133,'Datos de origen 2026'!G2130)=4,SUM('Datos de origen 2026'!G2131,'Datos de origen 2026'!G2132,'Datos de origen 2026'!G2133,'Datos de origen 2026'!G2130),"n.d.")</f>
        <v>761469</v>
      </c>
      <c r="G87" s="547">
        <f>IF(COUNT('Datos de origen 2026'!H2131,'Datos de origen 2026'!H2132,'Datos de origen 2026'!H2133,'Datos de origen 2026'!H2130)=4,SUM('Datos de origen 2026'!H2131,'Datos de origen 2026'!H2132,'Datos de origen 2026'!H2133,'Datos de origen 2026'!H2130),"n.d.")</f>
        <v>650326</v>
      </c>
      <c r="H87" s="547">
        <f>IF(COUNT('Datos de origen 2026'!I2131,'Datos de origen 2026'!I2132,'Datos de origen 2026'!I2133,'Datos de origen 2026'!I2130)=4,SUM('Datos de origen 2026'!I2131,'Datos de origen 2026'!I2132,'Datos de origen 2026'!I2133,'Datos de origen 2026'!I2130),"n.d.")</f>
        <v>1107856</v>
      </c>
    </row>
    <row r="88" spans="1:8" hidden="1">
      <c r="A88" s="537"/>
      <c r="B88" s="537"/>
      <c r="C88" s="548"/>
      <c r="D88" s="548"/>
      <c r="E88" s="548"/>
      <c r="F88" s="548"/>
      <c r="G88" s="548"/>
      <c r="H88" s="548"/>
    </row>
    <row r="89" spans="1:8" hidden="1">
      <c r="A89" s="537"/>
      <c r="B89" s="537"/>
      <c r="C89" s="548"/>
      <c r="D89" s="548"/>
      <c r="E89" s="548"/>
      <c r="F89" s="548"/>
      <c r="G89" s="548"/>
      <c r="H89" s="548"/>
    </row>
    <row r="90" spans="1:8" ht="19.5" hidden="1" customHeight="1">
      <c r="A90" s="609" t="s">
        <v>1500</v>
      </c>
      <c r="B90" s="609"/>
      <c r="C90" s="546"/>
      <c r="D90" s="546"/>
      <c r="E90" s="546"/>
      <c r="F90" s="546"/>
      <c r="G90" s="546"/>
      <c r="H90" s="546"/>
    </row>
    <row r="91" spans="1:8" hidden="1">
      <c r="A91" s="526" t="s">
        <v>1444</v>
      </c>
      <c r="B91" s="526" t="s">
        <v>1445</v>
      </c>
      <c r="C91" s="526" t="s">
        <v>1446</v>
      </c>
      <c r="D91" s="526" t="s">
        <v>1447</v>
      </c>
      <c r="E91" s="526" t="s">
        <v>1448</v>
      </c>
      <c r="F91" s="526" t="s">
        <v>1449</v>
      </c>
      <c r="G91" s="526" t="s">
        <v>5</v>
      </c>
      <c r="H91" s="526" t="s">
        <v>1450</v>
      </c>
    </row>
    <row r="92" spans="1:8" hidden="1">
      <c r="A92" s="537" t="s">
        <v>1478</v>
      </c>
      <c r="B92" s="537" t="s">
        <v>1501</v>
      </c>
      <c r="C92" s="552">
        <f>IF(ISNUMBER('Datos de origen 2026'!D228),'Datos de origen 2026'!D228,"n.d.")</f>
        <v>0.15</v>
      </c>
      <c r="D92" s="552">
        <f>IF(ISNUMBER('Datos de origen 2026'!E228),'Datos de origen 2026'!E228,"n.d.")</f>
        <v>0.15</v>
      </c>
      <c r="E92" s="552">
        <f>IF(ISNUMBER('Datos de origen 2026'!F228),'Datos de origen 2026'!F228,"n.d.")</f>
        <v>0.15</v>
      </c>
      <c r="F92" s="552">
        <f>IF(ISNUMBER('Datos de origen 2026'!G228),'Datos de origen 2026'!G228,"n.d.")</f>
        <v>0.15</v>
      </c>
      <c r="G92" s="552">
        <f>IF(ISNUMBER('Datos de origen 2026'!H228),'Datos de origen 2026'!H228,"n.d.")</f>
        <v>0.15</v>
      </c>
      <c r="H92" s="552">
        <f>IF(ISNUMBER('Datos de origen 2026'!I228),'Datos de origen 2026'!I228,"n.d.")</f>
        <v>0.15</v>
      </c>
    </row>
    <row r="93" spans="1:8" hidden="1">
      <c r="A93" s="537" t="s">
        <v>1479</v>
      </c>
      <c r="B93" s="537" t="s">
        <v>1502</v>
      </c>
      <c r="C93" s="547">
        <f>IF(ISNUMBER('Datos de origen 2026'!D231),'Datos de origen 2026'!D231,"n.d.")</f>
        <v>1040</v>
      </c>
      <c r="D93" s="547">
        <f>IF(ISNUMBER('Datos de origen 2026'!E231),'Datos de origen 2026'!E231,"n.d.")</f>
        <v>1040</v>
      </c>
      <c r="E93" s="547">
        <f>IF(ISNUMBER('Datos de origen 2026'!F231),'Datos de origen 2026'!F231,"n.d.")</f>
        <v>1040</v>
      </c>
      <c r="F93" s="547">
        <f>IF(ISNUMBER('Datos de origen 2026'!G231),'Datos de origen 2026'!G231,"n.d.")</f>
        <v>1040</v>
      </c>
      <c r="G93" s="547">
        <f>IF(ISNUMBER('Datos de origen 2026'!H231),'Datos de origen 2026'!H231,"n.d.")</f>
        <v>1040</v>
      </c>
      <c r="H93" s="547">
        <f>IF(ISNUMBER('Datos de origen 2026'!I231),'Datos de origen 2026'!I231,"n.d.")</f>
        <v>1040</v>
      </c>
    </row>
    <row r="94" spans="1:8" hidden="1">
      <c r="A94" s="537" t="s">
        <v>1480</v>
      </c>
      <c r="B94" s="537" t="s">
        <v>1501</v>
      </c>
      <c r="C94" s="552">
        <f>IF(ISNUMBER('Datos de origen 2026'!D320),'Datos de origen 2026'!D320,"n.d.")</f>
        <v>0.15</v>
      </c>
      <c r="D94" s="552">
        <f>IF(ISNUMBER('Datos de origen 2026'!E320),'Datos de origen 2026'!E320,"n.d.")</f>
        <v>0.15</v>
      </c>
      <c r="E94" s="552">
        <f>IF(ISNUMBER('Datos de origen 2026'!F320),'Datos de origen 2026'!F320,"n.d.")</f>
        <v>0.15</v>
      </c>
      <c r="F94" s="552">
        <f>IF(ISNUMBER('Datos de origen 2026'!G320),'Datos de origen 2026'!G320,"n.d.")</f>
        <v>0.15</v>
      </c>
      <c r="G94" s="552">
        <f>IF(ISNUMBER('Datos de origen 2026'!H320),'Datos de origen 2026'!H320,"n.d.")</f>
        <v>0.15</v>
      </c>
      <c r="H94" s="552">
        <f>IF(ISNUMBER('Datos de origen 2026'!I320),'Datos de origen 2026'!I320,"n.d.")</f>
        <v>0.15</v>
      </c>
    </row>
    <row r="95" spans="1:8" hidden="1">
      <c r="A95" s="537" t="s">
        <v>1481</v>
      </c>
      <c r="B95" s="537" t="s">
        <v>1502</v>
      </c>
      <c r="C95" s="547">
        <f>IF(ISNUMBER('Datos de origen 2026'!D323),'Datos de origen 2026'!D323,"n.d.")</f>
        <v>1040</v>
      </c>
      <c r="D95" s="547">
        <f>IF(ISNUMBER('Datos de origen 2026'!E323),'Datos de origen 2026'!E323,"n.d.")</f>
        <v>1040</v>
      </c>
      <c r="E95" s="547">
        <f>IF(ISNUMBER('Datos de origen 2026'!F323),'Datos de origen 2026'!F323,"n.d.")</f>
        <v>1040</v>
      </c>
      <c r="F95" s="547">
        <f>IF(ISNUMBER('Datos de origen 2026'!G323),'Datos de origen 2026'!G323,"n.d.")</f>
        <v>1040</v>
      </c>
      <c r="G95" s="547">
        <f>IF(ISNUMBER('Datos de origen 2026'!H323),'Datos de origen 2026'!H323,"n.d.")</f>
        <v>1040</v>
      </c>
      <c r="H95" s="547">
        <f>IF(ISNUMBER('Datos de origen 2026'!I323),'Datos de origen 2026'!I323,"n.d.")</f>
        <v>1040</v>
      </c>
    </row>
    <row r="96" spans="1:8" hidden="1">
      <c r="A96" s="537" t="s">
        <v>1482</v>
      </c>
      <c r="B96" s="537" t="s">
        <v>1501</v>
      </c>
      <c r="C96" s="552">
        <f>IF(ISNUMBER('Datos de origen 2026'!D138),'Datos de origen 2026'!D138,"n.d.")</f>
        <v>0.13800000000000001</v>
      </c>
      <c r="D96" s="552">
        <f>IF(ISNUMBER('Datos de origen 2026'!E138),'Datos de origen 2026'!E138,"n.d.")</f>
        <v>0.13800000000000001</v>
      </c>
      <c r="E96" s="552">
        <f>IF(ISNUMBER('Datos de origen 2026'!F138),'Datos de origen 2026'!F138,"n.d.")</f>
        <v>0.13800000000000001</v>
      </c>
      <c r="F96" s="552">
        <f>IF(ISNUMBER('Datos de origen 2026'!G138),'Datos de origen 2026'!G138,"n.d.")</f>
        <v>0.13800000000000001</v>
      </c>
      <c r="G96" s="552">
        <f>IF(ISNUMBER('Datos de origen 2026'!H138),'Datos de origen 2026'!H138,"n.d.")</f>
        <v>0.13800000000000001</v>
      </c>
      <c r="H96" s="552">
        <f>IF(ISNUMBER('Datos de origen 2026'!I138),'Datos de origen 2026'!I138,"n.d.")</f>
        <v>0.13800000000000001</v>
      </c>
    </row>
    <row r="97" spans="1:8" hidden="1">
      <c r="A97" s="537" t="s">
        <v>1483</v>
      </c>
      <c r="B97" s="537" t="s">
        <v>1501</v>
      </c>
      <c r="C97" s="552">
        <f>IF(ISNUMBER('Datos de origen 2026'!D515),'Datos de origen 2026'!D515,"n.d.")</f>
        <v>0.15</v>
      </c>
      <c r="D97" s="552">
        <f>IF(ISNUMBER('Datos de origen 2026'!E515),'Datos de origen 2026'!E515,"n.d.")</f>
        <v>0.15</v>
      </c>
      <c r="E97" s="552">
        <f>IF(ISNUMBER('Datos de origen 2026'!F515),'Datos de origen 2026'!F515,"n.d.")</f>
        <v>0.15</v>
      </c>
      <c r="F97" s="552">
        <f>IF(ISNUMBER('Datos de origen 2026'!G515),'Datos de origen 2026'!G515,"n.d.")</f>
        <v>0.15</v>
      </c>
      <c r="G97" s="552">
        <f>IF(ISNUMBER('Datos de origen 2026'!H515),'Datos de origen 2026'!H515,"n.d.")</f>
        <v>0.15</v>
      </c>
      <c r="H97" s="552">
        <f>IF(ISNUMBER('Datos de origen 2026'!I515),'Datos de origen 2026'!I515,"n.d.")</f>
        <v>0.15</v>
      </c>
    </row>
    <row r="98" spans="1:8" hidden="1">
      <c r="A98" s="537" t="s">
        <v>1484</v>
      </c>
      <c r="B98" s="537" t="s">
        <v>1501</v>
      </c>
      <c r="C98" s="552">
        <f>IF(ISNUMBER('Datos de origen 2026'!D583),'Datos de origen 2026'!D583,"n.d.")</f>
        <v>0.13800000000000001</v>
      </c>
      <c r="D98" s="552">
        <f>IF(ISNUMBER('Datos de origen 2026'!E583),'Datos de origen 2026'!E583,"n.d.")</f>
        <v>0.13800000000000001</v>
      </c>
      <c r="E98" s="552">
        <f>IF(ISNUMBER('Datos de origen 2026'!F583),'Datos de origen 2026'!F583,"n.d.")</f>
        <v>0.13800000000000001</v>
      </c>
      <c r="F98" s="552">
        <f>IF(ISNUMBER('Datos de origen 2026'!G583),'Datos de origen 2026'!G583,"n.d.")</f>
        <v>0.13800000000000001</v>
      </c>
      <c r="G98" s="552">
        <f>IF(ISNUMBER('Datos de origen 2026'!H583),'Datos de origen 2026'!H583,"n.d.")</f>
        <v>0.13800000000000001</v>
      </c>
      <c r="H98" s="552">
        <f>IF(ISNUMBER('Datos de origen 2026'!I583),'Datos de origen 2026'!I583,"n.d.")</f>
        <v>0.13800000000000001</v>
      </c>
    </row>
    <row r="99" spans="1:8" hidden="1">
      <c r="A99" s="537" t="s">
        <v>1485</v>
      </c>
      <c r="B99" s="537" t="s">
        <v>1502</v>
      </c>
      <c r="C99" s="547">
        <f>IF(ISNUMBER('Datos de origen 2026'!D586),'Datos de origen 2026'!D586,"n.d.")</f>
        <v>1020</v>
      </c>
      <c r="D99" s="547">
        <f>IF(ISNUMBER('Datos de origen 2026'!E586),'Datos de origen 2026'!E586,"n.d.")</f>
        <v>1020</v>
      </c>
      <c r="E99" s="547">
        <f>IF(ISNUMBER('Datos de origen 2026'!F586),'Datos de origen 2026'!F586,"n.d.")</f>
        <v>1020</v>
      </c>
      <c r="F99" s="547">
        <f>IF(ISNUMBER('Datos de origen 2026'!G586),'Datos de origen 2026'!G586,"n.d.")</f>
        <v>1020</v>
      </c>
      <c r="G99" s="547">
        <f>IF(ISNUMBER('Datos de origen 2026'!H586),'Datos de origen 2026'!H586,"n.d.")</f>
        <v>1020</v>
      </c>
      <c r="H99" s="547">
        <f>IF(ISNUMBER('Datos de origen 2026'!I586),'Datos de origen 2026'!I586,"n.d.")</f>
        <v>1020</v>
      </c>
    </row>
    <row r="100" spans="1:8" hidden="1">
      <c r="A100" s="537" t="s">
        <v>1486</v>
      </c>
      <c r="B100" s="537" t="s">
        <v>1501</v>
      </c>
      <c r="C100" s="552">
        <f>IF(ISNUMBER('Datos de origen 2026'!D677),'Datos de origen 2026'!D677,"n.d.")</f>
        <v>0.13800000000000001</v>
      </c>
      <c r="D100" s="552">
        <f>IF(ISNUMBER('Datos de origen 2026'!E677),'Datos de origen 2026'!E677,"n.d.")</f>
        <v>0.13800000000000001</v>
      </c>
      <c r="E100" s="552">
        <f>IF(ISNUMBER('Datos de origen 2026'!F677),'Datos de origen 2026'!F677,"n.d.")</f>
        <v>0.13800000000000001</v>
      </c>
      <c r="F100" s="552">
        <f>IF(ISNUMBER('Datos de origen 2026'!G677),'Datos de origen 2026'!G677,"n.d.")</f>
        <v>0.13800000000000001</v>
      </c>
      <c r="G100" s="552">
        <f>IF(ISNUMBER('Datos de origen 2026'!H677),'Datos de origen 2026'!H677,"n.d.")</f>
        <v>0.13800000000000001</v>
      </c>
      <c r="H100" s="552">
        <f>IF(ISNUMBER('Datos de origen 2026'!I677),'Datos de origen 2026'!I677,"n.d.")</f>
        <v>0.13800000000000001</v>
      </c>
    </row>
    <row r="101" spans="1:8" hidden="1">
      <c r="A101" s="537" t="s">
        <v>1487</v>
      </c>
      <c r="B101" s="537" t="s">
        <v>1502</v>
      </c>
      <c r="C101" s="547">
        <f>IF(ISNUMBER('Datos de origen 2026'!D680),'Datos de origen 2026'!D680,"n.d.")</f>
        <v>1020</v>
      </c>
      <c r="D101" s="547">
        <f>IF(ISNUMBER('Datos de origen 2026'!E680),'Datos de origen 2026'!E680,"n.d.")</f>
        <v>1020</v>
      </c>
      <c r="E101" s="547">
        <f>IF(ISNUMBER('Datos de origen 2026'!F680),'Datos de origen 2026'!F680,"n.d.")</f>
        <v>1020</v>
      </c>
      <c r="F101" s="547">
        <f>IF(ISNUMBER('Datos de origen 2026'!G680),'Datos de origen 2026'!G680,"n.d.")</f>
        <v>1020</v>
      </c>
      <c r="G101" s="547">
        <f>IF(ISNUMBER('Datos de origen 2026'!H680),'Datos de origen 2026'!H680,"n.d.")</f>
        <v>1020</v>
      </c>
      <c r="H101" s="547">
        <f>IF(ISNUMBER('Datos de origen 2026'!I680),'Datos de origen 2026'!I680,"n.d.")</f>
        <v>1020</v>
      </c>
    </row>
    <row r="102" spans="1:8" hidden="1">
      <c r="A102" s="537" t="s">
        <v>1488</v>
      </c>
      <c r="B102" s="537" t="s">
        <v>1501</v>
      </c>
      <c r="C102" s="552">
        <f>IF(ISNUMBER('Datos de origen 2026'!D2416),'Datos de origen 2026'!D2416,IFERROR(VALUE(LEFT('Datos de origen 2026'!D2416,FIND(" ",'Datos de origen 2026'!D2416&amp;" ")-1)),"n.d."))</f>
        <v>0.15</v>
      </c>
      <c r="D102" s="552">
        <f>IF(ISNUMBER('Datos de origen 2026'!E2416),'Datos de origen 2026'!E2416,IFERROR(VALUE(LEFT('Datos de origen 2026'!E2416,FIND(" ",'Datos de origen 2026'!E2416&amp;" ")-1)),"n.d."))</f>
        <v>0.15</v>
      </c>
      <c r="E102" s="552">
        <f>IF(ISNUMBER('Datos de origen 2026'!F2416),'Datos de origen 2026'!F2416,IFERROR(VALUE(LEFT('Datos de origen 2026'!F2416,FIND(" ",'Datos de origen 2026'!F2416&amp;" ")-1)),"n.d."))</f>
        <v>0.15</v>
      </c>
      <c r="F102" s="552">
        <f>IF(ISNUMBER('Datos de origen 2026'!G2416),'Datos de origen 2026'!G2416,IFERROR(VALUE(LEFT('Datos de origen 2026'!G2416,FIND(" ",'Datos de origen 2026'!G2416&amp;" ")-1)),"n.d."))</f>
        <v>0.15</v>
      </c>
      <c r="G102" s="552">
        <f>IF(ISNUMBER('Datos de origen 2026'!H2416),'Datos de origen 2026'!H2416,IFERROR(VALUE(LEFT('Datos de origen 2026'!H2416,FIND(" ",'Datos de origen 2026'!H2416&amp;" ")-1)),"n.d."))</f>
        <v>0.15</v>
      </c>
      <c r="H102" s="552">
        <f>IF(ISNUMBER('Datos de origen 2026'!I2416),'Datos de origen 2026'!I2416,IFERROR(VALUE(LEFT('Datos de origen 2026'!I2416,FIND(" ",'Datos de origen 2026'!I2416&amp;" ")-1)),"n.d."))</f>
        <v>0.15</v>
      </c>
    </row>
    <row r="103" spans="1:8" hidden="1">
      <c r="A103" s="537" t="s">
        <v>1489</v>
      </c>
      <c r="B103" s="537" t="s">
        <v>1501</v>
      </c>
      <c r="C103" s="552">
        <f>IF(ISNUMBER('Datos de origen 2026'!D924),'Datos de origen 2026'!D924,"n.d.")</f>
        <v>0.13800000000000001</v>
      </c>
      <c r="D103" s="552">
        <f>IF(ISNUMBER('Datos de origen 2026'!E924),'Datos de origen 2026'!E924,"n.d.")</f>
        <v>0.13800000000000001</v>
      </c>
      <c r="E103" s="552">
        <f>IF(ISNUMBER('Datos de origen 2026'!F924),'Datos de origen 2026'!F924,"n.d.")</f>
        <v>0.13800000000000001</v>
      </c>
      <c r="F103" s="552">
        <f>IF(ISNUMBER('Datos de origen 2026'!G924),'Datos de origen 2026'!G924,"n.d.")</f>
        <v>0.13800000000000001</v>
      </c>
      <c r="G103" s="552">
        <f>IF(ISNUMBER('Datos de origen 2026'!H924),'Datos de origen 2026'!H924,"n.d.")</f>
        <v>0.13800000000000001</v>
      </c>
      <c r="H103" s="552">
        <f>IF(ISNUMBER('Datos de origen 2026'!I924),'Datos de origen 2026'!I924,"n.d.")</f>
        <v>0.13800000000000001</v>
      </c>
    </row>
    <row r="104" spans="1:8" hidden="1">
      <c r="A104" s="537" t="s">
        <v>1490</v>
      </c>
      <c r="B104" s="537" t="s">
        <v>1501</v>
      </c>
      <c r="C104" s="552">
        <f>IF(ISNUMBER('Datos de origen 2026'!D2418),'Datos de origen 2026'!D2418,IFERROR(VALUE(LEFT('Datos de origen 2026'!D2418,FIND(" ",'Datos de origen 2026'!D2418&amp;" ")-1)),"n.d."))</f>
        <v>0.15</v>
      </c>
      <c r="D104" s="552">
        <f>IF(ISNUMBER('Datos de origen 2026'!E2418),'Datos de origen 2026'!E2418,IFERROR(VALUE(LEFT('Datos de origen 2026'!E2418,FIND(" ",'Datos de origen 2026'!E2418&amp;" ")-1)),"n.d."))</f>
        <v>0.15</v>
      </c>
      <c r="E104" s="552">
        <f>IF(ISNUMBER('Datos de origen 2026'!F2418),'Datos de origen 2026'!F2418,IFERROR(VALUE(LEFT('Datos de origen 2026'!F2418,FIND(" ",'Datos de origen 2026'!F2418&amp;" ")-1)),"n.d."))</f>
        <v>0.15</v>
      </c>
      <c r="F104" s="552">
        <f>IF(ISNUMBER('Datos de origen 2026'!G2418),'Datos de origen 2026'!G2418,IFERROR(VALUE(LEFT('Datos de origen 2026'!G2418,FIND(" ",'Datos de origen 2026'!G2418&amp;" ")-1)),"n.d."))</f>
        <v>0.15</v>
      </c>
      <c r="G104" s="552">
        <f>IF(ISNUMBER('Datos de origen 2026'!H2418),'Datos de origen 2026'!H2418,IFERROR(VALUE(LEFT('Datos de origen 2026'!H2418,FIND(" ",'Datos de origen 2026'!H2418&amp;" ")-1)),"n.d."))</f>
        <v>0.15</v>
      </c>
      <c r="H104" s="552">
        <f>IF(ISNUMBER('Datos de origen 2026'!I2418),'Datos de origen 2026'!I2418,IFERROR(VALUE(LEFT('Datos de origen 2026'!I2418,FIND(" ",'Datos de origen 2026'!I2418&amp;" ")-1)),"n.d."))</f>
        <v>0.15</v>
      </c>
    </row>
    <row r="105" spans="1:8" hidden="1">
      <c r="A105" s="537" t="s">
        <v>1491</v>
      </c>
      <c r="B105" s="537" t="s">
        <v>1501</v>
      </c>
      <c r="C105" s="552">
        <f>IF(ISNUMBER('Datos de origen 2026'!D1150),'Datos de origen 2026'!D1150,"n.d.")</f>
        <v>0.13800000000000001</v>
      </c>
      <c r="D105" s="552">
        <f>IF(ISNUMBER('Datos de origen 2026'!E1150),'Datos de origen 2026'!E1150,"n.d.")</f>
        <v>0.13800000000000001</v>
      </c>
      <c r="E105" s="552">
        <f>IF(ISNUMBER('Datos de origen 2026'!F1150),'Datos de origen 2026'!F1150,"n.d.")</f>
        <v>0.13800000000000001</v>
      </c>
      <c r="F105" s="552">
        <f>IF(ISNUMBER('Datos de origen 2026'!G1150),'Datos de origen 2026'!G1150,"n.d.")</f>
        <v>0.13800000000000001</v>
      </c>
      <c r="G105" s="552">
        <f>IF(ISNUMBER('Datos de origen 2026'!H1150),'Datos de origen 2026'!H1150,"n.d.")</f>
        <v>0.13800000000000001</v>
      </c>
      <c r="H105" s="552">
        <f>IF(ISNUMBER('Datos de origen 2026'!I1150),'Datos de origen 2026'!I1150,"n.d.")</f>
        <v>0.13800000000000001</v>
      </c>
    </row>
    <row r="106" spans="1:8" hidden="1">
      <c r="A106" s="537" t="s">
        <v>1492</v>
      </c>
      <c r="B106" s="537" t="s">
        <v>1501</v>
      </c>
      <c r="C106" s="552">
        <f>IF(ISNUMBER('Datos de origen 2026'!D1243),'Datos de origen 2026'!D1243,"n.d.")</f>
        <v>0.13800000000000001</v>
      </c>
      <c r="D106" s="552">
        <f>IF(ISNUMBER('Datos de origen 2026'!E1243),'Datos de origen 2026'!E1243,"n.d.")</f>
        <v>0.13800000000000001</v>
      </c>
      <c r="E106" s="552">
        <f>IF(ISNUMBER('Datos de origen 2026'!F1243),'Datos de origen 2026'!F1243,"n.d.")</f>
        <v>0.13800000000000001</v>
      </c>
      <c r="F106" s="552">
        <f>IF(ISNUMBER('Datos de origen 2026'!G1243),'Datos de origen 2026'!G1243,"n.d.")</f>
        <v>0.13800000000000001</v>
      </c>
      <c r="G106" s="552">
        <f>IF(ISNUMBER('Datos de origen 2026'!H1243),'Datos de origen 2026'!H1243,"n.d.")</f>
        <v>0.13800000000000001</v>
      </c>
      <c r="H106" s="552">
        <f>IF(ISNUMBER('Datos de origen 2026'!I1243),'Datos de origen 2026'!I1243,"n.d.")</f>
        <v>0.13800000000000001</v>
      </c>
    </row>
    <row r="107" spans="1:8" hidden="1">
      <c r="A107" s="537" t="s">
        <v>1493</v>
      </c>
      <c r="B107" s="537" t="s">
        <v>1502</v>
      </c>
      <c r="C107" s="547">
        <f>IF(ISNUMBER('Datos de origen 2026'!D1246),'Datos de origen 2026'!D1246,"n.d.")</f>
        <v>1026</v>
      </c>
      <c r="D107" s="547">
        <f>IF(ISNUMBER('Datos de origen 2026'!E1246),'Datos de origen 2026'!E1246,"n.d.")</f>
        <v>1026</v>
      </c>
      <c r="E107" s="547">
        <f>IF(ISNUMBER('Datos de origen 2026'!F1246),'Datos de origen 2026'!F1246,"n.d.")</f>
        <v>1026</v>
      </c>
      <c r="F107" s="547">
        <f>IF(ISNUMBER('Datos de origen 2026'!G1246),'Datos de origen 2026'!G1246,"n.d.")</f>
        <v>1026</v>
      </c>
      <c r="G107" s="547">
        <f>IF(ISNUMBER('Datos de origen 2026'!H1246),'Datos de origen 2026'!H1246,"n.d.")</f>
        <v>1026</v>
      </c>
      <c r="H107" s="547">
        <f>IF(ISNUMBER('Datos de origen 2026'!I1246),'Datos de origen 2026'!I1246,"n.d.")</f>
        <v>1026</v>
      </c>
    </row>
    <row r="108" spans="1:8" hidden="1">
      <c r="A108" s="537" t="s">
        <v>1494</v>
      </c>
      <c r="B108" s="537" t="s">
        <v>1501</v>
      </c>
      <c r="C108" s="552">
        <f>IF(ISNUMBER('Datos de origen 2026'!D2420),'Datos de origen 2026'!D2420,"n.d.")</f>
        <v>0.13800000000000001</v>
      </c>
      <c r="D108" s="552">
        <f>IF(ISNUMBER('Datos de origen 2026'!E2422),'Datos de origen 2026'!E2422,"n.d.")</f>
        <v>0.13800000000000001</v>
      </c>
      <c r="E108" s="552">
        <f>IF(ISNUMBER('Datos de origen 2026'!F2420),'Datos de origen 2026'!F2420,"n.d.")</f>
        <v>0.13800000000000001</v>
      </c>
      <c r="F108" s="552">
        <f>F145/($C$61*$C$62)</f>
        <v>0.13851504285714286</v>
      </c>
      <c r="G108" s="552">
        <f>G145/($C$61*$C$62)</f>
        <v>0.13830370477095999</v>
      </c>
      <c r="H108" s="552">
        <f>H145/($C$61*$C$62)</f>
        <v>0.13892521992311999</v>
      </c>
    </row>
    <row r="109" spans="1:8" hidden="1">
      <c r="A109" s="537" t="s">
        <v>1495</v>
      </c>
      <c r="B109" s="537" t="s">
        <v>1501</v>
      </c>
      <c r="C109" s="552">
        <f>IF(ISNUMBER('Datos de origen 2026'!D1803),'Datos de origen 2026'!D1803,"n.d.")</f>
        <v>0.13800000000000001</v>
      </c>
      <c r="D109" s="552">
        <f>IF(ISNUMBER('Datos de origen 2026'!E1803),'Datos de origen 2026'!E1803,"n.d.")</f>
        <v>0.13800000000000001</v>
      </c>
      <c r="E109" s="552">
        <f>IF(ISNUMBER('Datos de origen 2026'!F1803),'Datos de origen 2026'!F1803,"n.d.")</f>
        <v>0.13800000000000001</v>
      </c>
      <c r="F109" s="552">
        <f>IF(ISNUMBER('Datos de origen 2026'!G1803),'Datos de origen 2026'!G1803,"n.d.")</f>
        <v>0.13800000000000001</v>
      </c>
      <c r="G109" s="552">
        <f>IF(ISNUMBER('Datos de origen 2026'!H1803),'Datos de origen 2026'!H1803,"n.d.")</f>
        <v>0.13800000000000001</v>
      </c>
      <c r="H109" s="552">
        <f>IF(ISNUMBER('Datos de origen 2026'!I1803),'Datos de origen 2026'!I1803,"n.d.")</f>
        <v>0.13800000000000001</v>
      </c>
    </row>
    <row r="110" spans="1:8" hidden="1">
      <c r="A110" s="537" t="s">
        <v>1496</v>
      </c>
      <c r="B110" s="537" t="s">
        <v>1501</v>
      </c>
      <c r="C110" s="552">
        <f>IF(ISNUMBER('Datos de origen 2026'!D1887),'Datos de origen 2026'!D1887,"n.d.")</f>
        <v>0.13800000000000001</v>
      </c>
      <c r="D110" s="552">
        <f>IF(ISNUMBER('Datos de origen 2026'!E1887),'Datos de origen 2026'!E1887,"n.d.")</f>
        <v>0.13800000000000001</v>
      </c>
      <c r="E110" s="552">
        <f>IF(ISNUMBER('Datos de origen 2026'!F1887),'Datos de origen 2026'!F1887,"n.d.")</f>
        <v>0.13800000000000001</v>
      </c>
      <c r="F110" s="552">
        <f>IF(ISNUMBER('Datos de origen 2026'!G1887),'Datos de origen 2026'!G1887,"n.d.")</f>
        <v>0.13800000000000001</v>
      </c>
      <c r="G110" s="552">
        <f>IF(ISNUMBER('Datos de origen 2026'!H1887),'Datos de origen 2026'!H1887,"n.d.")</f>
        <v>0.13800000000000001</v>
      </c>
      <c r="H110" s="552">
        <f>IF(ISNUMBER('Datos de origen 2026'!I1887),'Datos de origen 2026'!I1887,"n.d.")</f>
        <v>0.13800000000000001</v>
      </c>
    </row>
    <row r="111" spans="1:8" hidden="1">
      <c r="A111" s="537" t="s">
        <v>1497</v>
      </c>
      <c r="B111" s="537" t="s">
        <v>1501</v>
      </c>
      <c r="C111" s="552">
        <f>IF(ISNUMBER('Datos de origen 2026'!D1971),'Datos de origen 2026'!D1971,"n.d.")</f>
        <v>0.13800000000000001</v>
      </c>
      <c r="D111" s="552">
        <f>IF(ISNUMBER('Datos de origen 2026'!E1971),'Datos de origen 2026'!E1971,"n.d.")</f>
        <v>0.13800000000000001</v>
      </c>
      <c r="E111" s="552">
        <f>IF(ISNUMBER('Datos de origen 2026'!F1971),'Datos de origen 2026'!F1971,"n.d.")</f>
        <v>0.13800000000000001</v>
      </c>
      <c r="F111" s="552">
        <f>IF(ISNUMBER('Datos de origen 2026'!G1971),'Datos de origen 2026'!G1971,"n.d.")</f>
        <v>0.13800000000000001</v>
      </c>
      <c r="G111" s="552">
        <f>IF(ISNUMBER('Datos de origen 2026'!H1971),'Datos de origen 2026'!H1971,"n.d.")</f>
        <v>0.13800000000000001</v>
      </c>
      <c r="H111" s="552">
        <f>IF(ISNUMBER('Datos de origen 2026'!I1971),'Datos de origen 2026'!I1971,"n.d.")</f>
        <v>0.13800000000000001</v>
      </c>
    </row>
    <row r="112" spans="1:8" hidden="1">
      <c r="A112" s="537" t="s">
        <v>1498</v>
      </c>
      <c r="B112" s="537" t="s">
        <v>1501</v>
      </c>
      <c r="C112" s="552">
        <f>IF(ISNUMBER('Datos de origen 2026'!D2055),'Datos de origen 2026'!D2055,"n.d.")</f>
        <v>0.13800000000000001</v>
      </c>
      <c r="D112" s="552">
        <f>IF(ISNUMBER('Datos de origen 2026'!E2055),'Datos de origen 2026'!E2055,"n.d.")</f>
        <v>0.13800000000000001</v>
      </c>
      <c r="E112" s="552">
        <f>IF(ISNUMBER('Datos de origen 2026'!F2055),'Datos de origen 2026'!F2055,"n.d.")</f>
        <v>0.13800000000000001</v>
      </c>
      <c r="F112" s="552">
        <f>IF(ISNUMBER('Datos de origen 2026'!G2055),'Datos de origen 2026'!G2055,"n.d.")</f>
        <v>0.13800000000000001</v>
      </c>
      <c r="G112" s="552">
        <f>IF(ISNUMBER('Datos de origen 2026'!H2055),'Datos de origen 2026'!H2055,"n.d.")</f>
        <v>0.13800000000000001</v>
      </c>
      <c r="H112" s="552">
        <f>IF(ISNUMBER('Datos de origen 2026'!I2055),'Datos de origen 2026'!I2055,"n.d.")</f>
        <v>0.13800000000000001</v>
      </c>
    </row>
    <row r="113" spans="1:8" hidden="1">
      <c r="A113" s="537" t="s">
        <v>1499</v>
      </c>
      <c r="B113" s="537" t="s">
        <v>1501</v>
      </c>
      <c r="C113" s="552">
        <f>IF(ISNUMBER('Datos de origen 2026'!D2144),'Datos de origen 2026'!D2144,"n.d.")</f>
        <v>0.13800000000000001</v>
      </c>
      <c r="D113" s="552">
        <f>IF(ISNUMBER('Datos de origen 2026'!E2144),'Datos de origen 2026'!E2144,"n.d.")</f>
        <v>0.13800000000000001</v>
      </c>
      <c r="E113" s="552">
        <f>IF(ISNUMBER('Datos de origen 2026'!F2144),'Datos de origen 2026'!F2144,"n.d.")</f>
        <v>0.13800000000000001</v>
      </c>
      <c r="F113" s="552">
        <f>IF(ISNUMBER('Datos de origen 2026'!G2144),'Datos de origen 2026'!G2144,"n.d.")</f>
        <v>0.13800000000000001</v>
      </c>
      <c r="G113" s="552">
        <f>IF(ISNUMBER('Datos de origen 2026'!H2144),'Datos de origen 2026'!H2144,"n.d.")</f>
        <v>0.13800000000000001</v>
      </c>
      <c r="H113" s="552">
        <f>IF(ISNUMBER('Datos de origen 2026'!I2144),'Datos de origen 2026'!I2144,"n.d.")</f>
        <v>0.13800000000000001</v>
      </c>
    </row>
    <row r="114" spans="1:8" hidden="1">
      <c r="A114" s="537"/>
      <c r="B114" s="537"/>
      <c r="C114" s="548"/>
      <c r="D114" s="548"/>
      <c r="E114" s="548"/>
      <c r="F114" s="548"/>
      <c r="G114" s="548"/>
      <c r="H114" s="548"/>
    </row>
    <row r="115" spans="1:8" hidden="1">
      <c r="A115" s="537"/>
      <c r="B115" s="537"/>
      <c r="C115" s="548"/>
      <c r="D115" s="548"/>
      <c r="E115" s="548"/>
      <c r="F115" s="548"/>
      <c r="G115" s="548"/>
      <c r="H115" s="548"/>
    </row>
    <row r="116" spans="1:8" ht="19.5" hidden="1" customHeight="1">
      <c r="A116" s="609" t="s">
        <v>1503</v>
      </c>
      <c r="B116" s="609"/>
      <c r="C116" s="546"/>
      <c r="D116" s="546"/>
      <c r="E116" s="546"/>
      <c r="F116" s="546"/>
      <c r="G116" s="546"/>
      <c r="H116" s="546"/>
    </row>
    <row r="117" spans="1:8" hidden="1">
      <c r="A117" s="526" t="s">
        <v>1444</v>
      </c>
      <c r="B117" s="526" t="s">
        <v>1445</v>
      </c>
      <c r="C117" s="526" t="s">
        <v>1446</v>
      </c>
      <c r="D117" s="526" t="s">
        <v>1447</v>
      </c>
      <c r="E117" s="526" t="s">
        <v>1448</v>
      </c>
      <c r="F117" s="526" t="s">
        <v>1449</v>
      </c>
      <c r="G117" s="526" t="s">
        <v>5</v>
      </c>
      <c r="H117" s="526" t="s">
        <v>1450</v>
      </c>
    </row>
    <row r="118" spans="1:8" hidden="1">
      <c r="A118" s="537" t="s">
        <v>1478</v>
      </c>
      <c r="B118" s="537" t="s">
        <v>140</v>
      </c>
      <c r="C118" s="547">
        <f>IF(ISNUMBER(C66),IF(C66=0,0,IF(ISNUMBER(C92),C66*C92,"n.d.")),"n.d.")</f>
        <v>0</v>
      </c>
      <c r="D118" s="547">
        <f>IF(ISNUMBER(D66),IF(D66=0,0,IF(ISNUMBER(D92),D66*D92,"n.d.")),"n.d.")</f>
        <v>295175.97899999999</v>
      </c>
      <c r="E118" s="547">
        <f>IF(ISNUMBER(E66),IF(E66=0,0,IF(ISNUMBER(E92),E66*E92,"n.d.")),"n.d.")</f>
        <v>347490.04500000004</v>
      </c>
      <c r="F118" s="547">
        <f>IF(ISNUMBER(F66),IF(F66=0,0,IF(ISNUMBER(F92),F66*F92,"n.d.")),"n.d.")</f>
        <v>10742.508</v>
      </c>
      <c r="G118" s="547">
        <f>IF(ISNUMBER(G66),IF(G66=0,0,IF(ISNUMBER(G92),G66*G92,"n.d.")),"n.d.")</f>
        <v>103830.363</v>
      </c>
      <c r="H118" s="547">
        <f>IF(ISNUMBER(H66),IF(H66=0,0,IF(ISNUMBER(H92),H66*H92,"n.d.")),"n.d.")</f>
        <v>73576.880999999994</v>
      </c>
    </row>
    <row r="119" spans="1:8" hidden="1">
      <c r="A119" s="537" t="s">
        <v>1479</v>
      </c>
      <c r="B119" s="537" t="s">
        <v>140</v>
      </c>
      <c r="C119" s="547">
        <f>IF(ISNUMBER(C67),IF(C67=0,0,IF(ISNUMBER(C93),C67*C93/$C$61,"n.d.")),"n.d.")</f>
        <v>1616382.4040000001</v>
      </c>
      <c r="D119" s="547">
        <f>IF(ISNUMBER(D67),IF(D67=0,0,IF(ISNUMBER(D93),D67*D93/$C$61,"n.d.")),"n.d.")</f>
        <v>1552.5432000000001</v>
      </c>
      <c r="E119" s="547">
        <f>IF(ISNUMBER(E67),IF(E67=0,0,IF(ISNUMBER(E93),E67*E93/$C$61,"n.d.")),"n.d.")</f>
        <v>1892525.0914439999</v>
      </c>
      <c r="F119" s="547">
        <f>IF(ISNUMBER(F67),IF(F67=0,0,IF(ISNUMBER(F93),F67*F93/$C$61,"n.d.")),"n.d.")</f>
        <v>1874994.0875639999</v>
      </c>
      <c r="G119" s="547">
        <f>IF(ISNUMBER(G67),IF(G67=0,0,IF(ISNUMBER(G93),G67*G93/$C$61,"n.d.")),"n.d.")</f>
        <v>1954290.4992</v>
      </c>
      <c r="H119" s="547">
        <f>IF(ISNUMBER(H67),IF(H67=0,0,IF(ISNUMBER(H93),H67*H93/$C$61,"n.d.")),"n.d.")</f>
        <v>2324287.7423999999</v>
      </c>
    </row>
    <row r="120" spans="1:8" hidden="1">
      <c r="A120" s="537" t="s">
        <v>1480</v>
      </c>
      <c r="B120" s="537" t="s">
        <v>140</v>
      </c>
      <c r="C120" s="547">
        <f>IF(ISNUMBER(C68),IF(C68=0,0,IF(ISNUMBER(C94),C68*C94,"n.d.")),"n.d.")</f>
        <v>134556.59699999998</v>
      </c>
      <c r="D120" s="547">
        <f>IF(ISNUMBER(D68),IF(D68=0,0,IF(ISNUMBER(D94),D68*D94,"n.d.")),"n.d.")</f>
        <v>1182496.8329999999</v>
      </c>
      <c r="E120" s="547">
        <f>IF(ISNUMBER(E68),IF(E68=0,0,IF(ISNUMBER(E94),E68*E94,"n.d.")),"n.d.")</f>
        <v>440931.01500000001</v>
      </c>
      <c r="F120" s="547">
        <f>IF(ISNUMBER(F68),IF(F68=0,0,IF(ISNUMBER(F94),F68*F94,"n.d.")),"n.d.")</f>
        <v>29348.675999999999</v>
      </c>
      <c r="G120" s="547">
        <f>IF(ISNUMBER(G68),IF(G68=0,0,IF(ISNUMBER(G94),G68*G94,"n.d.")),"n.d.")</f>
        <v>745235.82</v>
      </c>
      <c r="H120" s="547">
        <f>IF(ISNUMBER(H68),IF(H68=0,0,IF(ISNUMBER(H94),H68*H94,"n.d.")),"n.d.")</f>
        <v>269716.54499999998</v>
      </c>
    </row>
    <row r="121" spans="1:8" hidden="1">
      <c r="A121" s="537" t="s">
        <v>1481</v>
      </c>
      <c r="B121" s="537" t="s">
        <v>140</v>
      </c>
      <c r="C121" s="547">
        <f>IF(ISNUMBER(C69),IF(C69=0,0,IF(ISNUMBER(C95),C69*C95/$C$61,"n.d.")),"n.d.")</f>
        <v>772244.62639999995</v>
      </c>
      <c r="D121" s="547">
        <f>IF(ISNUMBER(D69),IF(D69=0,0,IF(ISNUMBER(D95),D69*D95/$C$61,"n.d.")),"n.d.")</f>
        <v>761192.55680000002</v>
      </c>
      <c r="E121" s="547">
        <f>IF(ISNUMBER(E69),IF(E69=0,0,IF(ISNUMBER(E95),E69*E95/$C$61,"n.d.")),"n.d.")</f>
        <v>1764781.4808</v>
      </c>
      <c r="F121" s="547">
        <f>IF(ISNUMBER(F69),IF(F69=0,0,IF(ISNUMBER(F95),F69*F95/$C$61,"n.d.")),"n.d.")</f>
        <v>1252727.6565960001</v>
      </c>
      <c r="G121" s="547">
        <f>IF(ISNUMBER(G69),IF(G69=0,0,IF(ISNUMBER(G95),G69*G95/$C$61,"n.d.")),"n.d.")</f>
        <v>1191489.3744000001</v>
      </c>
      <c r="H121" s="547">
        <f>IF(ISNUMBER(H69),IF(H69=0,0,IF(ISNUMBER(H95),H69*H95/$C$61,"n.d.")),"n.d.")</f>
        <v>2044203.414084</v>
      </c>
    </row>
    <row r="122" spans="1:8" hidden="1">
      <c r="A122" s="537" t="s">
        <v>1482</v>
      </c>
      <c r="B122" s="537" t="s">
        <v>140</v>
      </c>
      <c r="C122" s="547">
        <f>IF(ISNUMBER(C70),IF(C70=0,0,IF(ISNUMBER(C96),C70*C96,"n.d.")),"n.d.")</f>
        <v>0</v>
      </c>
      <c r="D122" s="547">
        <f>IF(ISNUMBER(D70),IF(D70=0,0,IF(ISNUMBER(D96),D70*D96,"n.d.")),"n.d.")</f>
        <v>0</v>
      </c>
      <c r="E122" s="547">
        <f>IF(ISNUMBER(E70),IF(E70=0,0,IF(ISNUMBER(E96),E70*E96,"n.d.")),"n.d.")</f>
        <v>0</v>
      </c>
      <c r="F122" s="547">
        <f>IF(ISNUMBER(F70),IF(F70=0,0,IF(ISNUMBER(F96),F70*F96,"n.d.")),"n.d.")</f>
        <v>0</v>
      </c>
      <c r="G122" s="547">
        <f>IF(ISNUMBER(G70),IF(G70=0,0,IF(ISNUMBER(G96),G70*G96,"n.d.")),"n.d.")</f>
        <v>0</v>
      </c>
      <c r="H122" s="547">
        <f>IF(ISNUMBER(H70),IF(H70=0,0,IF(ISNUMBER(H96),H70*H96,"n.d.")),"n.d.")</f>
        <v>0</v>
      </c>
    </row>
    <row r="123" spans="1:8" hidden="1">
      <c r="A123" s="537" t="s">
        <v>1483</v>
      </c>
      <c r="B123" s="537" t="s">
        <v>140</v>
      </c>
      <c r="C123" s="547">
        <f>IF(ISNUMBER(C71),IF(C71=0,0,IF(ISNUMBER(C97),C71*C97,"n.d.")),"n.d.")</f>
        <v>190459.65</v>
      </c>
      <c r="D123" s="547">
        <f>IF(ISNUMBER(D71),IF(D71=0,0,IF(ISNUMBER(D97),D71*D97,"n.d.")),"n.d.")</f>
        <v>344046.21299999999</v>
      </c>
      <c r="E123" s="547">
        <f>IF(ISNUMBER(E71),IF(E71=0,0,IF(ISNUMBER(E97),E71*E97,"n.d.")),"n.d.")</f>
        <v>266446.40399999998</v>
      </c>
      <c r="F123" s="547">
        <f>IF(ISNUMBER(F71),IF(F71=0,0,IF(ISNUMBER(F97),F71*F97,"n.d.")),"n.d.")</f>
        <v>516879.027</v>
      </c>
      <c r="G123" s="547">
        <f>IF(ISNUMBER(G71),IF(G71=0,0,IF(ISNUMBER(G97),G71*G97,"n.d.")),"n.d.")</f>
        <v>428700.82500000001</v>
      </c>
      <c r="H123" s="547">
        <f>IF(ISNUMBER(H71),IF(H71=0,0,IF(ISNUMBER(H97),H71*H97,"n.d.")),"n.d.")</f>
        <v>182018.21400000001</v>
      </c>
    </row>
    <row r="124" spans="1:8" hidden="1">
      <c r="A124" s="537" t="s">
        <v>1484</v>
      </c>
      <c r="B124" s="537" t="s">
        <v>140</v>
      </c>
      <c r="C124" s="547">
        <f>IF(ISNUMBER(C72),IF(C72=0,0,IF(ISNUMBER(C98),C72*C98,"n.d.")),"n.d.")</f>
        <v>33242.682000000001</v>
      </c>
      <c r="D124" s="547">
        <f>IF(ISNUMBER(D72),IF(D72=0,0,IF(ISNUMBER(D98),D72*D98,"n.d.")),"n.d.")</f>
        <v>53053.859880000004</v>
      </c>
      <c r="E124" s="547">
        <f>IF(ISNUMBER(E72),IF(E72=0,0,IF(ISNUMBER(E98),E72*E98,"n.d.")),"n.d.")</f>
        <v>230140.55484</v>
      </c>
      <c r="F124" s="547">
        <f>IF(ISNUMBER(F72),IF(F72=0,0,IF(ISNUMBER(F98),F72*F98,"n.d.")),"n.d.")</f>
        <v>200160.97668000002</v>
      </c>
      <c r="G124" s="547">
        <f>IF(ISNUMBER(G72),IF(G72=0,0,IF(ISNUMBER(G98),G72*G98,"n.d.")),"n.d.")</f>
        <v>225312.48684</v>
      </c>
      <c r="H124" s="547">
        <f>IF(ISNUMBER(H72),IF(H72=0,0,IF(ISNUMBER(H98),H72*H98,"n.d.")),"n.d.")</f>
        <v>63380.245320000009</v>
      </c>
    </row>
    <row r="125" spans="1:8" hidden="1">
      <c r="A125" s="537" t="s">
        <v>1485</v>
      </c>
      <c r="B125" s="537" t="s">
        <v>140</v>
      </c>
      <c r="C125" s="547">
        <f>IF(ISNUMBER(C73),IF(C73=0,0,IF(ISNUMBER(C99),C73*C99/$C$61,"n.d.")),"n.d.")</f>
        <v>1007018.2497372001</v>
      </c>
      <c r="D125" s="547">
        <f>IF(ISNUMBER(D73),IF(D73=0,0,IF(ISNUMBER(D99),D73*D99/$C$61,"n.d.")),"n.d.")</f>
        <v>947479.66945440008</v>
      </c>
      <c r="E125" s="547">
        <f>IF(ISNUMBER(E73),IF(E73=0,0,IF(ISNUMBER(E99),E73*E99/$C$61,"n.d.")),"n.d.")</f>
        <v>718679.25242759997</v>
      </c>
      <c r="F125" s="547">
        <f>IF(ISNUMBER(F73),IF(F73=0,0,IF(ISNUMBER(F99),F73*F99/$C$61,"n.d.")),"n.d.")</f>
        <v>867335.66776079987</v>
      </c>
      <c r="G125" s="547">
        <f>IF(ISNUMBER(G73),IF(G73=0,0,IF(ISNUMBER(G99),G73*G99/$C$61,"n.d.")),"n.d.")</f>
        <v>883217.00213399995</v>
      </c>
      <c r="H125" s="547">
        <f>IF(ISNUMBER(H73),IF(H73=0,0,IF(ISNUMBER(H99),H73*H99/$C$61,"n.d.")),"n.d.")</f>
        <v>968989.44541739998</v>
      </c>
    </row>
    <row r="126" spans="1:8" hidden="1">
      <c r="A126" s="537" t="s">
        <v>1486</v>
      </c>
      <c r="B126" s="537" t="s">
        <v>140</v>
      </c>
      <c r="C126" s="547">
        <f>IF(ISNUMBER(C74),IF(C74=0,0,IF(ISNUMBER(C100),C74*C100,"n.d.")),"n.d.")</f>
        <v>0</v>
      </c>
      <c r="D126" s="547">
        <f>IF(ISNUMBER(D74),IF(D74=0,0,IF(ISNUMBER(D100),D74*D100,"n.d.")),"n.d.")</f>
        <v>0</v>
      </c>
      <c r="E126" s="547">
        <f>IF(ISNUMBER(E74),IF(E74=0,0,IF(ISNUMBER(E100),E74*E100,"n.d.")),"n.d.")</f>
        <v>0</v>
      </c>
      <c r="F126" s="547">
        <f>IF(ISNUMBER(F74),IF(F74=0,0,IF(ISNUMBER(F100),F74*F100,"n.d.")),"n.d.")</f>
        <v>0</v>
      </c>
      <c r="G126" s="547">
        <f>IF(ISNUMBER(G74),IF(G74=0,0,IF(ISNUMBER(G100),G74*G100,"n.d.")),"n.d.")</f>
        <v>0</v>
      </c>
      <c r="H126" s="547">
        <f>IF(ISNUMBER(H74),IF(H74=0,0,IF(ISNUMBER(H100),H74*H100,"n.d.")),"n.d.")</f>
        <v>0</v>
      </c>
    </row>
    <row r="127" spans="1:8" hidden="1">
      <c r="A127" s="537" t="s">
        <v>1487</v>
      </c>
      <c r="B127" s="537" t="s">
        <v>140</v>
      </c>
      <c r="C127" s="547">
        <f>IF(ISNUMBER(C75),IF(C75=0,0,IF(ISNUMBER(C101),C75*C101/$C$61,"n.d.")),"n.d.")</f>
        <v>0</v>
      </c>
      <c r="D127" s="547">
        <f>IF(ISNUMBER(D75),IF(D75=0,0,IF(ISNUMBER(D101),D75*D101/$C$61,"n.d.")),"n.d.")</f>
        <v>0</v>
      </c>
      <c r="E127" s="547">
        <f>IF(ISNUMBER(E75),IF(E75=0,0,IF(ISNUMBER(E101),E75*E101/$C$61,"n.d.")),"n.d.")</f>
        <v>0</v>
      </c>
      <c r="F127" s="547">
        <f>IF(ISNUMBER(F75),IF(F75=0,0,IF(ISNUMBER(F101),F75*F101/$C$61,"n.d.")),"n.d.")</f>
        <v>1.0200000000000001E-7</v>
      </c>
      <c r="G127" s="547">
        <f>IF(ISNUMBER(G75),IF(G75=0,0,IF(ISNUMBER(G101),G75*G101/$C$61,"n.d.")),"n.d.")</f>
        <v>0</v>
      </c>
      <c r="H127" s="547">
        <f>IF(ISNUMBER(H75),IF(H75=0,0,IF(ISNUMBER(H101),H75*H101/$C$61,"n.d.")),"n.d.")</f>
        <v>935003.78254079993</v>
      </c>
    </row>
    <row r="128" spans="1:8" hidden="1">
      <c r="A128" s="537" t="s">
        <v>1488</v>
      </c>
      <c r="B128" s="537" t="s">
        <v>140</v>
      </c>
      <c r="C128" s="547">
        <f>IF(ISNUMBER(C76),IF(C76=0,0,IF(ISNUMBER(C102),C76*C102,"n.d.")),"n.d.")</f>
        <v>1748046.45</v>
      </c>
      <c r="D128" s="547">
        <f>IF(ISNUMBER(D76),IF(D76=0,0,IF(ISNUMBER(D102),D76*D102,"n.d.")),"n.d.")</f>
        <v>1278723.2849999999</v>
      </c>
      <c r="E128" s="547">
        <f>IF(ISNUMBER(E76),IF(E76=0,0,IF(ISNUMBER(E102),E76*E102,"n.d.")),"n.d.")</f>
        <v>1463213.2409999999</v>
      </c>
      <c r="F128" s="547">
        <f>IF(ISNUMBER(F76),IF(F76=0,0,IF(ISNUMBER(F102),F76*F102,"n.d.")),"n.d.")</f>
        <v>1318271.55</v>
      </c>
      <c r="G128" s="547">
        <f>IF(ISNUMBER(G76),IF(G76=0,0,IF(ISNUMBER(G102),G76*G102,"n.d.")),"n.d.")</f>
        <v>1682956.2959999999</v>
      </c>
      <c r="H128" s="547">
        <f>IF(ISNUMBER(H76),IF(H76=0,0,IF(ISNUMBER(H102),H76*H102,"n.d.")),"n.d.")</f>
        <v>1669330.6559999997</v>
      </c>
    </row>
    <row r="129" spans="1:8" hidden="1">
      <c r="A129" s="537" t="s">
        <v>1489</v>
      </c>
      <c r="B129" s="537" t="s">
        <v>140</v>
      </c>
      <c r="C129" s="547">
        <f>IF(ISNUMBER(C77),IF(C77=0,0,IF(ISNUMBER(C103),C77*C103,"n.d.")),"n.d.")</f>
        <v>569496.33000000007</v>
      </c>
      <c r="D129" s="547">
        <f>IF(ISNUMBER(D77),IF(D77=0,0,IF(ISNUMBER(D103),D77*D103,"n.d.")),"n.d.")</f>
        <v>479743.89</v>
      </c>
      <c r="E129" s="547">
        <f>IF(ISNUMBER(E77),IF(E77=0,0,IF(ISNUMBER(E103),E77*E103,"n.d.")),"n.d.")</f>
        <v>440166.04200000002</v>
      </c>
      <c r="F129" s="547">
        <f>IF(ISNUMBER(F77),IF(F77=0,0,IF(ISNUMBER(F103),F77*F103,"n.d.")),"n.d.")</f>
        <v>589596.3060000001</v>
      </c>
      <c r="G129" s="547">
        <f>IF(ISNUMBER(G77),IF(G77=0,0,IF(ISNUMBER(G103),G77*G103,"n.d.")),"n.d.")</f>
        <v>603853.77600000007</v>
      </c>
      <c r="H129" s="547">
        <f>IF(ISNUMBER(H77),IF(H77=0,0,IF(ISNUMBER(H103),H77*H103,"n.d.")),"n.d.")</f>
        <v>655850.3820000001</v>
      </c>
    </row>
    <row r="130" spans="1:8" hidden="1">
      <c r="A130" s="537" t="s">
        <v>1490</v>
      </c>
      <c r="B130" s="537" t="s">
        <v>140</v>
      </c>
      <c r="C130" s="547">
        <f>IF(ISNUMBER(C78),IF(C78=0,0,IF(ISNUMBER(C104),C78*C104,"n.d.")),"n.d.")</f>
        <v>1216848.3</v>
      </c>
      <c r="D130" s="547">
        <f>IF(ISNUMBER(D78),IF(D78=0,0,IF(ISNUMBER(D104),D78*D104,"n.d.")),"n.d.")</f>
        <v>632603.1</v>
      </c>
      <c r="E130" s="547">
        <f>IF(ISNUMBER(E78),IF(E78=0,0,IF(ISNUMBER(E104),E78*E104,"n.d.")),"n.d.")</f>
        <v>3944.5499999999997</v>
      </c>
      <c r="F130" s="547">
        <f>IF(ISNUMBER(F78),IF(F78=0,0,IF(ISNUMBER(F104),F78*F104,"n.d.")),"n.d.")</f>
        <v>823139.1</v>
      </c>
      <c r="G130" s="547">
        <f>IF(ISNUMBER(G78),IF(G78=0,0,IF(ISNUMBER(G104),G78*G104,"n.d.")),"n.d.")</f>
        <v>949155.6</v>
      </c>
      <c r="H130" s="547">
        <f>IF(ISNUMBER(H78),IF(H78=0,0,IF(ISNUMBER(H104),H78*H104,"n.d.")),"n.d.")</f>
        <v>1835687.0999999999</v>
      </c>
    </row>
    <row r="131" spans="1:8" hidden="1">
      <c r="A131" s="537" t="s">
        <v>1491</v>
      </c>
      <c r="B131" s="537" t="s">
        <v>140</v>
      </c>
      <c r="C131" s="547">
        <f>IF(ISNUMBER(C79),IF(C79=0,0,IF(ISNUMBER(C105),C79*C105,"n.d.")),"n.d.")</f>
        <v>27387.894000000004</v>
      </c>
      <c r="D131" s="547">
        <f>IF(ISNUMBER(D79),IF(D79=0,0,IF(ISNUMBER(D105),D79*D105,"n.d.")),"n.d.")</f>
        <v>11173.032000000001</v>
      </c>
      <c r="E131" s="547">
        <f>IF(ISNUMBER(E79),IF(E79=0,0,IF(ISNUMBER(E105),E79*E105,"n.d.")),"n.d.")</f>
        <v>16773.900000000001</v>
      </c>
      <c r="F131" s="547">
        <f>IF(ISNUMBER(F79),IF(F79=0,0,IF(ISNUMBER(F105),F79*F105,"n.d.")),"n.d.")</f>
        <v>169295.50200000001</v>
      </c>
      <c r="G131" s="547">
        <f>IF(ISNUMBER(G79),IF(G79=0,0,IF(ISNUMBER(G105),G79*G105,"n.d.")),"n.d.")</f>
        <v>39737.652000000002</v>
      </c>
      <c r="H131" s="547">
        <f>IF(ISNUMBER(H79),IF(H79=0,0,IF(ISNUMBER(H105),H79*H105,"n.d.")),"n.d.")</f>
        <v>65302.152000000002</v>
      </c>
    </row>
    <row r="132" spans="1:8" hidden="1">
      <c r="A132" s="537" t="s">
        <v>1492</v>
      </c>
      <c r="B132" s="537" t="s">
        <v>140</v>
      </c>
      <c r="C132" s="547">
        <f>IF(ISNUMBER(C80),IF(C80=0,0,IF(ISNUMBER(C106),C80*C106,"n.d.")),"n.d.")</f>
        <v>63163.014000000003</v>
      </c>
      <c r="D132" s="547">
        <f>IF(ISNUMBER(D80),IF(D80=0,0,IF(ISNUMBER(D106),D80*D106,"n.d.")),"n.d.")</f>
        <v>22564.104000000003</v>
      </c>
      <c r="E132" s="547">
        <f>IF(ISNUMBER(E80),IF(E80=0,0,IF(ISNUMBER(E106),E80*E106,"n.d.")),"n.d.")</f>
        <v>19769.052000000003</v>
      </c>
      <c r="F132" s="547">
        <f>IF(ISNUMBER(F80),IF(F80=0,0,IF(ISNUMBER(F106),F80*F106,"n.d.")),"n.d.")</f>
        <v>374121.72600000002</v>
      </c>
      <c r="G132" s="547">
        <f>IF(ISNUMBER(G80),IF(G80=0,0,IF(ISNUMBER(G106),G80*G106,"n.d.")),"n.d.")</f>
        <v>6976.0380000000005</v>
      </c>
      <c r="H132" s="547">
        <f>IF(ISNUMBER(H80),IF(H80=0,0,IF(ISNUMBER(H106),H80*H106,"n.d.")),"n.d.")</f>
        <v>0</v>
      </c>
    </row>
    <row r="133" spans="1:8" hidden="1">
      <c r="A133" s="537" t="s">
        <v>1493</v>
      </c>
      <c r="B133" s="537" t="s">
        <v>140</v>
      </c>
      <c r="C133" s="547">
        <f>IF(ISNUMBER(C81),IF(C81=0,0,IF(ISNUMBER(C107),C81*C107/$C$61,"n.d.")),"n.d.")</f>
        <v>0</v>
      </c>
      <c r="D133" s="547">
        <f>IF(ISNUMBER(D81),IF(D81=0,0,IF(ISNUMBER(D107),D81*D107/$C$61,"n.d.")),"n.d.")</f>
        <v>0</v>
      </c>
      <c r="E133" s="547">
        <f>IF(ISNUMBER(E81),IF(E81=0,0,IF(ISNUMBER(E107),E81*E107/$C$61,"n.d.")),"n.d.")</f>
        <v>0</v>
      </c>
      <c r="F133" s="547">
        <f>IF(ISNUMBER(F81),IF(F81=0,0,IF(ISNUMBER(F107),F81*F107/$C$61,"n.d.")),"n.d.")</f>
        <v>0</v>
      </c>
      <c r="G133" s="547">
        <f>IF(ISNUMBER(G81),IF(G81=0,0,IF(ISNUMBER(G107),G81*G107/$C$61,"n.d.")),"n.d.")</f>
        <v>0</v>
      </c>
      <c r="H133" s="547">
        <f>IF(ISNUMBER(H81),IF(H81=0,0,IF(ISNUMBER(H107),H81*H107/$C$61,"n.d.")),"n.d.")</f>
        <v>121.10227045200001</v>
      </c>
    </row>
    <row r="134" spans="1:8" hidden="1">
      <c r="A134" s="537" t="s">
        <v>1494</v>
      </c>
      <c r="B134" s="537" t="s">
        <v>140</v>
      </c>
      <c r="C134" s="547">
        <f>IF(ISNUMBER(C82),IF(C82=0,0,IF(ISNUMBER(C108),C82*C108,"n.d.")),"n.d.")</f>
        <v>20673.366000000002</v>
      </c>
      <c r="D134" s="547">
        <f>IF(ISNUMBER(D82),IF(D82=0,0,IF(ISNUMBER(D108),D82*D108,"n.d.")),"n.d.")</f>
        <v>33798.684000000001</v>
      </c>
      <c r="E134" s="547">
        <f>IF(ISNUMBER(E82),IF(E82=0,0,IF(ISNUMBER(E108),E82*E108,"n.d.")),"n.d.")</f>
        <v>107879.982</v>
      </c>
      <c r="F134" s="547">
        <f>IF(ISNUMBER(F82),IF(F82=0,0,IF(ISNUMBER(F108),F82*F108,"n.d.")),"n.d.")</f>
        <v>212570.72537028571</v>
      </c>
      <c r="G134" s="547">
        <f>IF(ISNUMBER(G82),IF(G82=0,0,IF(ISNUMBER(G108),G82*G108,"n.d.")),"n.d.")</f>
        <v>182158.14990937416</v>
      </c>
      <c r="H134" s="547">
        <f>IF(ISNUMBER(H82),IF(H82=0,0,IF(ISNUMBER(H108),H82*H108,"n.d.")),"n.d.")</f>
        <v>177166.88736091738</v>
      </c>
    </row>
    <row r="135" spans="1:8" hidden="1">
      <c r="A135" s="537" t="s">
        <v>1495</v>
      </c>
      <c r="B135" s="537" t="s">
        <v>140</v>
      </c>
      <c r="C135" s="547">
        <f>IF(ISNUMBER(C83),IF(C83=0,0,IF(ISNUMBER(C109),C83*C109,"n.d.")),"n.d.")</f>
        <v>0</v>
      </c>
      <c r="D135" s="547">
        <f>IF(ISNUMBER(D83),IF(D83=0,0,IF(ISNUMBER(D109),D83*D109,"n.d.")),"n.d.")</f>
        <v>0</v>
      </c>
      <c r="E135" s="547">
        <f>IF(ISNUMBER(E83),IF(E83=0,0,IF(ISNUMBER(E109),E83*E109,"n.d.")),"n.d.")</f>
        <v>4457.5380000000005</v>
      </c>
      <c r="F135" s="547">
        <f>IF(ISNUMBER(F83),IF(F83=0,0,IF(ISNUMBER(F109),F83*F109,"n.d.")),"n.d.")</f>
        <v>22085.106000000003</v>
      </c>
      <c r="G135" s="547">
        <f>IF(ISNUMBER(G83),IF(G83=0,0,IF(ISNUMBER(G109),G83*G109,"n.d.")),"n.d.")</f>
        <v>53265.654000000002</v>
      </c>
      <c r="H135" s="547">
        <f>IF(ISNUMBER(H83),IF(H83=0,0,IF(ISNUMBER(H109),H83*H109,"n.d.")),"n.d.")</f>
        <v>67821.618000000002</v>
      </c>
    </row>
    <row r="136" spans="1:8" hidden="1">
      <c r="A136" s="537" t="s">
        <v>1496</v>
      </c>
      <c r="B136" s="537" t="s">
        <v>140</v>
      </c>
      <c r="C136" s="547">
        <f>IF(ISNUMBER(C84),IF(C84=0,0,IF(ISNUMBER(C110),C84*C110,"n.d.")),"n.d.")</f>
        <v>16500.522000000001</v>
      </c>
      <c r="D136" s="547">
        <f>IF(ISNUMBER(D84),IF(D84=0,0,IF(ISNUMBER(D110),D84*D110,"n.d.")),"n.d.")</f>
        <v>0</v>
      </c>
      <c r="E136" s="547">
        <f>IF(ISNUMBER(E84),IF(E84=0,0,IF(ISNUMBER(E110),E84*E110,"n.d.")),"n.d.")</f>
        <v>0</v>
      </c>
      <c r="F136" s="547">
        <f>IF(ISNUMBER(F84),IF(F84=0,0,IF(ISNUMBER(F110),F84*F110,"n.d.")),"n.d.")</f>
        <v>0</v>
      </c>
      <c r="G136" s="547">
        <f>IF(ISNUMBER(G84),IF(G84=0,0,IF(ISNUMBER(G110),G84*G110,"n.d.")),"n.d.")</f>
        <v>0</v>
      </c>
      <c r="H136" s="547">
        <f>IF(ISNUMBER(H84),IF(H84=0,0,IF(ISNUMBER(H110),H84*H110,"n.d.")),"n.d.")</f>
        <v>0</v>
      </c>
    </row>
    <row r="137" spans="1:8" hidden="1">
      <c r="A137" s="537" t="s">
        <v>1497</v>
      </c>
      <c r="B137" s="537" t="s">
        <v>140</v>
      </c>
      <c r="C137" s="547">
        <f>IF(ISNUMBER(C85),IF(C85=0,0,IF(ISNUMBER(C111),C85*C111,"n.d.")),"n.d.")</f>
        <v>0</v>
      </c>
      <c r="D137" s="547">
        <f>IF(ISNUMBER(D85),IF(D85=0,0,IF(ISNUMBER(D111),D85*D111,"n.d.")),"n.d.")</f>
        <v>0</v>
      </c>
      <c r="E137" s="547">
        <f>IF(ISNUMBER(E85),IF(E85=0,0,IF(ISNUMBER(E111),E85*E111,"n.d.")),"n.d.")</f>
        <v>0</v>
      </c>
      <c r="F137" s="547">
        <f>IF(ISNUMBER(F85),IF(F85=0,0,IF(ISNUMBER(F111),F85*F111,"n.d.")),"n.d.")</f>
        <v>0</v>
      </c>
      <c r="G137" s="547">
        <f>IF(ISNUMBER(G85),IF(G85=0,0,IF(ISNUMBER(G111),G85*G111,"n.d.")),"n.d.")</f>
        <v>0</v>
      </c>
      <c r="H137" s="547">
        <f>IF(ISNUMBER(H85),IF(H85=0,0,IF(ISNUMBER(H111),H85*H111,"n.d.")),"n.d.")</f>
        <v>0</v>
      </c>
    </row>
    <row r="138" spans="1:8" hidden="1">
      <c r="A138" s="537" t="s">
        <v>1498</v>
      </c>
      <c r="B138" s="537" t="s">
        <v>140</v>
      </c>
      <c r="C138" s="547">
        <f>IF(ISNUMBER(C86),IF(C86=0,0,IF(ISNUMBER(C112),C86*C112,"n.d.")),"n.d.")</f>
        <v>0</v>
      </c>
      <c r="D138" s="547">
        <f>IF(ISNUMBER(D86),IF(D86=0,0,IF(ISNUMBER(D112),D86*D112,"n.d.")),"n.d.")</f>
        <v>0</v>
      </c>
      <c r="E138" s="547">
        <f>IF(ISNUMBER(E86),IF(E86=0,0,IF(ISNUMBER(E112),E86*E112,"n.d.")),"n.d.")</f>
        <v>9392.8320000000003</v>
      </c>
      <c r="F138" s="547">
        <f>IF(ISNUMBER(F86),IF(F86=0,0,IF(ISNUMBER(F112),F86*F112,"n.d.")),"n.d.")</f>
        <v>20525.568000000003</v>
      </c>
      <c r="G138" s="547">
        <f>IF(ISNUMBER(G86),IF(G86=0,0,IF(ISNUMBER(G112),G86*G112,"n.d.")),"n.d.")</f>
        <v>23906.568000000003</v>
      </c>
      <c r="H138" s="547">
        <f>IF(ISNUMBER(H86),IF(H86=0,0,IF(ISNUMBER(H112),H86*H112,"n.d.")),"n.d.")</f>
        <v>47523.612000000001</v>
      </c>
    </row>
    <row r="139" spans="1:8" hidden="1">
      <c r="A139" s="537" t="s">
        <v>1499</v>
      </c>
      <c r="B139" s="537" t="s">
        <v>140</v>
      </c>
      <c r="C139" s="547">
        <f>IF(ISNUMBER(C87),IF(C87=0,0,IF(ISNUMBER(C113),C87*C113,"n.d.")),"n.d.")</f>
        <v>97645.488000000012</v>
      </c>
      <c r="D139" s="547">
        <f>IF(ISNUMBER(D87),IF(D87=0,0,IF(ISNUMBER(D113),D87*D113,"n.d.")),"n.d.")</f>
        <v>82890.94200000001</v>
      </c>
      <c r="E139" s="547">
        <f>IF(ISNUMBER(E87),IF(E87=0,0,IF(ISNUMBER(E113),E87*E113,"n.d.")),"n.d.")</f>
        <v>117145.99200000001</v>
      </c>
      <c r="F139" s="547">
        <f>IF(ISNUMBER(F87),IF(F87=0,0,IF(ISNUMBER(F113),F87*F113,"n.d.")),"n.d.")</f>
        <v>105082.72200000001</v>
      </c>
      <c r="G139" s="547">
        <f>IF(ISNUMBER(G87),IF(G87=0,0,IF(ISNUMBER(G113),G87*G113,"n.d.")),"n.d.")</f>
        <v>89744.988000000012</v>
      </c>
      <c r="H139" s="547">
        <f>IF(ISNUMBER(H87),IF(H87=0,0,IF(ISNUMBER(H113),H87*H113,"n.d.")),"n.d.")</f>
        <v>152884.12800000003</v>
      </c>
    </row>
    <row r="140" spans="1:8" hidden="1">
      <c r="A140" s="537"/>
      <c r="B140" s="537"/>
      <c r="C140" s="537"/>
      <c r="D140" s="537"/>
      <c r="E140" s="537"/>
      <c r="F140" s="537"/>
      <c r="G140" s="537"/>
      <c r="H140" s="537"/>
    </row>
    <row r="141" spans="1:8" hidden="1">
      <c r="A141" s="537"/>
      <c r="B141" s="537"/>
      <c r="C141" s="537"/>
      <c r="D141" s="537"/>
      <c r="E141" s="537"/>
      <c r="F141" s="537"/>
      <c r="G141" s="537"/>
      <c r="H141" s="537"/>
    </row>
    <row r="142" spans="1:8" ht="29.85" hidden="1" customHeight="1">
      <c r="A142" s="609" t="s">
        <v>1504</v>
      </c>
      <c r="B142" s="609"/>
      <c r="C142" s="536"/>
      <c r="D142" s="536"/>
      <c r="E142" s="536"/>
      <c r="F142" s="536"/>
      <c r="G142" s="536"/>
      <c r="H142" s="536"/>
    </row>
    <row r="143" spans="1:8" hidden="1">
      <c r="A143" s="526" t="s">
        <v>1444</v>
      </c>
      <c r="B143" s="526" t="s">
        <v>1445</v>
      </c>
      <c r="C143" s="526" t="s">
        <v>1446</v>
      </c>
      <c r="D143" s="526" t="s">
        <v>1447</v>
      </c>
      <c r="E143" s="526" t="s">
        <v>1448</v>
      </c>
      <c r="F143" s="526" t="s">
        <v>1449</v>
      </c>
      <c r="G143" s="526" t="s">
        <v>5</v>
      </c>
      <c r="H143" s="526" t="s">
        <v>1450</v>
      </c>
    </row>
    <row r="144" spans="1:8" hidden="1">
      <c r="A144" s="537"/>
      <c r="B144" s="537"/>
      <c r="C144" s="537"/>
      <c r="D144" s="537"/>
      <c r="E144" s="537"/>
      <c r="F144" s="537"/>
      <c r="G144" s="537"/>
      <c r="H144" s="537"/>
    </row>
    <row r="145" spans="1:8" hidden="1">
      <c r="A145" s="537" t="s">
        <v>1505</v>
      </c>
      <c r="B145" s="537" t="s">
        <v>1506</v>
      </c>
      <c r="C145" s="554"/>
      <c r="D145" s="554"/>
      <c r="E145" s="554"/>
      <c r="F145" s="554">
        <f>'Datos de origen 2026'!G2424</f>
        <v>5817631.7999999998</v>
      </c>
      <c r="G145" s="554">
        <f>'Datos de origen 2026'!H2424</f>
        <v>5808755.6003803201</v>
      </c>
      <c r="H145" s="554">
        <f>'Datos de origen 2026'!I2424</f>
        <v>5834859.2367710397</v>
      </c>
    </row>
    <row r="146" spans="1:8" hidden="1">
      <c r="A146" s="537"/>
      <c r="B146" s="537"/>
      <c r="C146" s="537"/>
      <c r="D146" s="537"/>
      <c r="E146" s="537"/>
      <c r="F146" s="537"/>
      <c r="G146" s="537"/>
      <c r="H146" s="537"/>
    </row>
    <row r="147" spans="1:8" hidden="1">
      <c r="A147" s="537"/>
      <c r="B147" s="537"/>
      <c r="C147" s="537"/>
      <c r="D147" s="537"/>
      <c r="E147" s="537"/>
      <c r="F147" s="537"/>
      <c r="G147" s="537"/>
      <c r="H147" s="537"/>
    </row>
    <row r="148" spans="1:8" hidden="1">
      <c r="A148" s="537"/>
      <c r="B148" s="537"/>
      <c r="C148" s="537"/>
      <c r="D148" s="537"/>
      <c r="E148" s="537"/>
      <c r="F148" s="537"/>
      <c r="G148" s="537"/>
      <c r="H148" s="537"/>
    </row>
    <row r="149" spans="1:8" hidden="1">
      <c r="A149" s="537"/>
      <c r="B149" s="537"/>
      <c r="C149" s="537"/>
      <c r="D149" s="537"/>
      <c r="E149" s="537"/>
      <c r="F149" s="537"/>
      <c r="G149" s="537"/>
      <c r="H149" s="537"/>
    </row>
    <row r="150" spans="1:8" hidden="1"/>
    <row r="151" spans="1:8" hidden="1"/>
    <row r="152" spans="1:8" hidden="1"/>
    <row r="153" spans="1:8" hidden="1"/>
    <row r="154" spans="1:8" hidden="1"/>
    <row r="155" spans="1:8" hidden="1"/>
    <row r="156" spans="1:8" hidden="1"/>
    <row r="157" spans="1:8" hidden="1"/>
    <row r="158" spans="1:8" hidden="1"/>
    <row r="159" spans="1:8" hidden="1"/>
    <row r="160" spans="1:8" hidden="1"/>
    <row r="161" hidden="1"/>
    <row r="162" hidden="1"/>
    <row r="163" hidden="1"/>
    <row r="164" hidden="1"/>
    <row r="165" hidden="1"/>
  </sheetData>
  <mergeCells count="8">
    <mergeCell ref="A90:B90"/>
    <mergeCell ref="A116:B116"/>
    <mergeCell ref="A142:B142"/>
    <mergeCell ref="A1:H1"/>
    <mergeCell ref="A13:B13"/>
    <mergeCell ref="A34:B34"/>
    <mergeCell ref="A47:H47"/>
    <mergeCell ref="A64:B64"/>
  </mergeCells>
  <conditionalFormatting sqref="C3:H12">
    <cfRule type="containsText" dxfId="0" priority="2" operator="containsText" text="n.d.">
      <formula>NOT(ISERROR(SEARCH("n.d.",C3)))</formula>
    </cfRule>
  </conditionalFormatting>
  <pageMargins left="0.7" right="0.7" top="0.75" bottom="0.75" header="0.511811023622047" footer="0.511811023622047"/>
  <pageSetup paperSize="9" orientation="portrait" horizontalDpi="300" verticalDpi="30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356202C57E8A91488ECE962D63A71F10" ma:contentTypeVersion="28" ma:contentTypeDescription="Create a new document." ma:contentTypeScope="" ma:versionID="654b7b56a2fe923677a210f40454c90d">
  <xsd:schema xmlns:xsd="http://www.w3.org/2001/XMLSchema" xmlns:xs="http://www.w3.org/2001/XMLSchema" xmlns:p="http://schemas.microsoft.com/office/2006/metadata/properties" xmlns:ns1="http://schemas.microsoft.com/sharepoint/v3" xmlns:ns2="6bd9865d-c7d0-4288-ab0a-9d4dee1c94e8" xmlns:ns3="80985e37-4d14-49b1-85af-18f353798ba1" targetNamespace="http://schemas.microsoft.com/office/2006/metadata/properties" ma:root="true" ma:fieldsID="edcb1f821f7d503522bc666ddf0654bb" ns1:_="" ns2:_="" ns3:_="">
    <xsd:import namespace="http://schemas.microsoft.com/sharepoint/v3"/>
    <xsd:import namespace="6bd9865d-c7d0-4288-ab0a-9d4dee1c94e8"/>
    <xsd:import namespace="80985e37-4d14-49b1-85af-18f353798ba1"/>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GenerationTime" minOccurs="0"/>
                <xsd:element ref="ns2:MediaServiceEventHashCode" minOccurs="0"/>
                <xsd:element ref="ns2:MediaServiceDateTaken" minOccurs="0"/>
                <xsd:element ref="ns2:MediaServiceSearchProperties" minOccurs="0"/>
                <xsd:element ref="ns2:MediaLengthInSeconds" minOccurs="0"/>
                <xsd:element ref="ns2:lcf76f155ced4ddcb4097134ff3c332f" minOccurs="0"/>
                <xsd:element ref="ns3:TaxCatchAll" minOccurs="0"/>
                <xsd:element ref="ns2:MediaServiceOCR"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0" nillable="true" ma:displayName="Unified Compliance Policy Properties" ma:hidden="true" ma:internalName="_ip_UnifiedCompliancePolicyProperties">
      <xsd:simpleType>
        <xsd:restriction base="dms:Note"/>
      </xsd:simpleType>
    </xsd:element>
    <xsd:element name="_ip_UnifiedCompliancePolicyUIAction" ma:index="21"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bd9865d-c7d0-4288-ab0a-9d4dee1c94e8" elementFormDefault="qualified">
    <xsd:import namespace="http://schemas.microsoft.com/office/2006/documentManagement/types"/>
    <xsd:import namespace="http://schemas.microsoft.com/office/infopath/2007/PartnerControls"/>
    <xsd:element name="MediaServiceMetadata" ma:index="4" nillable="true" ma:displayName="MediaServiceMetadata" ma:hidden="true" ma:internalName="MediaServiceMetadata" ma:readOnly="true">
      <xsd:simpleType>
        <xsd:restriction base="dms:Note"/>
      </xsd:simpleType>
    </xsd:element>
    <xsd:element name="MediaServiceFastMetadata" ma:index="5" nillable="true" ma:displayName="MediaServiceFastMetadata" ma:hidden="true" ma:internalName="MediaServiceFastMetadata" ma:readOnly="true">
      <xsd:simpleType>
        <xsd:restriction base="dms:Note"/>
      </xsd:simpleType>
    </xsd:element>
    <xsd:element name="MediaServiceObjectDetectorVersions" ma:index="6" nillable="true" ma:displayName="MediaServiceObjectDetectorVersions" ma:hidden="true" ma:indexed="true" ma:internalName="MediaServiceObjectDetectorVersions" ma:readOnly="true">
      <xsd:simpleType>
        <xsd:restriction base="dms:Text"/>
      </xsd:simpleType>
    </xsd:element>
    <xsd:element name="MediaServiceGenerationTime" ma:index="7" nillable="true" ma:displayName="MediaServiceGenerationTime" ma:hidden="true" ma:internalName="MediaServiceGenerationTime" ma:readOnly="true">
      <xsd:simpleType>
        <xsd:restriction base="dms:Text"/>
      </xsd:simpleType>
    </xsd:element>
    <xsd:element name="MediaServiceEventHashCode" ma:index="8" nillable="true" ma:displayName="MediaServiceEventHashCode" ma:hidden="true" ma:internalName="MediaServiceEventHashCode" ma:readOnly="true">
      <xsd:simpleType>
        <xsd:restriction base="dms:Text"/>
      </xsd:simpleType>
    </xsd:element>
    <xsd:element name="MediaServiceDateTaken" ma:index="9" nillable="true" ma:displayName="MediaServiceDateTaken" ma:hidden="true" ma:indexed="true" ma:internalName="MediaServiceDateTaken" ma:readOnly="true">
      <xsd:simpleType>
        <xsd:restriction base="dms:Text"/>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LengthInSeconds" ma:index="12"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5976c244-545e-4324-b4dc-13be35ff8a8b"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80985e37-4d14-49b1-85af-18f353798ba1"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5cfa6364-4a4c-4116-acd5-17595be27265}" ma:internalName="TaxCatchAll" ma:showField="CatchAllData" ma:web="80985e37-4d14-49b1-85af-18f353798ba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3"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6bd9865d-c7d0-4288-ab0a-9d4dee1c94e8">
      <Terms xmlns="http://schemas.microsoft.com/office/infopath/2007/PartnerControls"/>
    </lcf76f155ced4ddcb4097134ff3c332f>
    <_ip_UnifiedCompliancePolicyUIAction xmlns="http://schemas.microsoft.com/sharepoint/v3" xsi:nil="true"/>
    <_ip_UnifiedCompliancePolicyProperties xmlns="http://schemas.microsoft.com/sharepoint/v3" xsi:nil="true"/>
    <TaxCatchAll xmlns="80985e37-4d14-49b1-85af-18f353798ba1" xsi:nil="true"/>
  </documentManagement>
</p:properties>
</file>

<file path=customXml/itemProps1.xml><?xml version="1.0" encoding="utf-8"?>
<ds:datastoreItem xmlns:ds="http://schemas.openxmlformats.org/officeDocument/2006/customXml" ds:itemID="{5492C391-D542-4F62-A828-50F1D60ECE60}"/>
</file>

<file path=customXml/itemProps2.xml><?xml version="1.0" encoding="utf-8"?>
<ds:datastoreItem xmlns:ds="http://schemas.openxmlformats.org/officeDocument/2006/customXml" ds:itemID="{D0A640A5-FBF8-4102-BC49-CDEDE43AF3F8}"/>
</file>

<file path=customXml/itemProps3.xml><?xml version="1.0" encoding="utf-8"?>
<ds:datastoreItem xmlns:ds="http://schemas.openxmlformats.org/officeDocument/2006/customXml" ds:itemID="{218F8E3D-D510-4369-A2FC-555FBF9BFFE2}"/>
</file>

<file path=docMetadata/LabelInfo.xml><?xml version="1.0" encoding="utf-8"?>
<clbl:labelList xmlns:clbl="http://schemas.microsoft.com/office/2020/mipLabelMetadata">
  <clbl:label id="{78a04aee-a64e-44f0-a8b2-827673f450dc}" enabled="1" method="Standard" siteId="{31289701-2511-4b48-b59d-bfc969d3a983}" removed="0"/>
</clbl:labelLis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openpyxl</dc:creator>
  <cp:keywords/>
  <dc:description/>
  <cp:lastModifiedBy>Samuel Rosario Machado</cp:lastModifiedBy>
  <cp:revision>0</cp:revision>
  <dcterms:created xsi:type="dcterms:W3CDTF">2026-09-22T19:21:53Z</dcterms:created>
  <dcterms:modified xsi:type="dcterms:W3CDTF">2026-09-22T23:12:41Z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0x010100356202C57E8A91488ECE962D63A71F10</vt:lpwstr>
  </property>
  <property fmtid="{D5CDD505-2E9C-101B-9397-08002B2CF9AE}" pid="3" name="MediaServiceImageTags">
    <vt:lpwstr/>
  </property>
</Properties>
</file>