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tables/table12.xml" ContentType="application/vnd.openxmlformats-officedocument.spreadsheetml.table+xml"/>
  <Override PartName="/docProps/app.xml" ContentType="application/vnd.openxmlformats-officedocument.extended-properties+xml"/>
  <Override PartName="/xl/tables/table11.xml" ContentType="application/vnd.openxmlformats-officedocument.spreadsheetml.table+xml"/>
  <Override PartName="/xl/tables/table10.xml" ContentType="application/vnd.openxmlformats-officedocument.spreadsheetml.table+xml"/>
  <Override PartName="/xl/tables/table14.xml" ContentType="application/vnd.openxmlformats-officedocument.spreadsheetml.table+xml"/>
  <Override PartName="/xl/tables/table13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hidePivotFieldList="1" defaultThemeVersion="166925"/>
  <xr:revisionPtr revIDLastSave="4714" documentId="13_ncr:1_{569D8FBD-BAF0-4500-B390-8445A5B18EAE}" xr6:coauthVersionLast="47" xr6:coauthVersionMax="47" xr10:uidLastSave="{32FC14F4-4FB0-4452-8C8C-7E3BE53D9783}"/>
  <bookViews>
    <workbookView xWindow="-120" yWindow="-120" windowWidth="29040" windowHeight="16440" xr2:uid="{46776161-C26A-425D-88E1-41F6DA80281D}"/>
  </bookViews>
  <sheets>
    <sheet name="Raw Data-OpEx vs Budget Metric" sheetId="310" r:id="rId1"/>
    <sheet name="Raw Data-CapEx vs Budget Metric" sheetId="311" r:id="rId2"/>
    <sheet name="Raw Data-Overtime Metric" sheetId="314" r:id="rId3"/>
    <sheet name="Data Source" sheetId="30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314" l="1"/>
  <c r="D41" i="314" s="1"/>
  <c r="E41" i="314" s="1"/>
  <c r="F41" i="314" s="1"/>
  <c r="G41" i="314" s="1"/>
  <c r="H41" i="314" s="1"/>
  <c r="I41" i="314" s="1"/>
  <c r="J41" i="314" s="1"/>
  <c r="K41" i="314" s="1"/>
  <c r="L41" i="314" s="1"/>
  <c r="M41" i="314" s="1"/>
  <c r="N41" i="314" s="1"/>
  <c r="C40" i="314"/>
  <c r="C33" i="314"/>
  <c r="D33" i="314" s="1"/>
  <c r="E33" i="314" s="1"/>
  <c r="F33" i="314" s="1"/>
  <c r="G33" i="314" s="1"/>
  <c r="H33" i="314" s="1"/>
  <c r="I33" i="314" s="1"/>
  <c r="J33" i="314" s="1"/>
  <c r="K33" i="314" s="1"/>
  <c r="L33" i="314" s="1"/>
  <c r="M33" i="314" s="1"/>
  <c r="N33" i="314" s="1"/>
  <c r="C32" i="314"/>
  <c r="C25" i="314"/>
  <c r="D25" i="314" s="1"/>
  <c r="E25" i="314" s="1"/>
  <c r="F25" i="314" s="1"/>
  <c r="G25" i="314" s="1"/>
  <c r="H25" i="314" s="1"/>
  <c r="I25" i="314" s="1"/>
  <c r="J25" i="314" s="1"/>
  <c r="K25" i="314" s="1"/>
  <c r="L25" i="314" s="1"/>
  <c r="M25" i="314" s="1"/>
  <c r="N25" i="314" s="1"/>
  <c r="C24" i="314"/>
  <c r="C17" i="314"/>
  <c r="D17" i="314" s="1"/>
  <c r="E17" i="314" s="1"/>
  <c r="F17" i="314" s="1"/>
  <c r="G17" i="314" s="1"/>
  <c r="H17" i="314" s="1"/>
  <c r="I17" i="314" s="1"/>
  <c r="J17" i="314" s="1"/>
  <c r="K17" i="314" s="1"/>
  <c r="L17" i="314" s="1"/>
  <c r="M17" i="314" s="1"/>
  <c r="N17" i="314" s="1"/>
  <c r="C16" i="314"/>
  <c r="C9" i="314"/>
  <c r="D9" i="314" s="1"/>
  <c r="E9" i="314" s="1"/>
  <c r="F9" i="314" s="1"/>
  <c r="G9" i="314" s="1"/>
  <c r="H9" i="314" s="1"/>
  <c r="I9" i="314" s="1"/>
  <c r="J9" i="314" s="1"/>
  <c r="K9" i="314" s="1"/>
  <c r="L9" i="314" s="1"/>
  <c r="M9" i="314" s="1"/>
  <c r="N9" i="314" s="1"/>
  <c r="C8" i="314"/>
  <c r="Q40" i="311"/>
  <c r="B40" i="311"/>
  <c r="AA39" i="311"/>
  <c r="Z39" i="311"/>
  <c r="Y39" i="311"/>
  <c r="X39" i="311"/>
  <c r="W39" i="311"/>
  <c r="V39" i="311"/>
  <c r="U39" i="311"/>
  <c r="T39" i="311"/>
  <c r="S39" i="311"/>
  <c r="R39" i="311"/>
  <c r="Q39" i="311"/>
  <c r="M39" i="311"/>
  <c r="L39" i="311"/>
  <c r="K39" i="311"/>
  <c r="J39" i="311"/>
  <c r="I39" i="311"/>
  <c r="H39" i="311"/>
  <c r="G39" i="311"/>
  <c r="F39" i="311"/>
  <c r="E39" i="311"/>
  <c r="D39" i="311"/>
  <c r="C39" i="311"/>
  <c r="B39" i="311"/>
  <c r="AC38" i="311"/>
  <c r="N38" i="311"/>
  <c r="AC37" i="311"/>
  <c r="N37" i="311"/>
  <c r="Q32" i="311"/>
  <c r="B32" i="311"/>
  <c r="AB31" i="311"/>
  <c r="AA31" i="311"/>
  <c r="Z31" i="311"/>
  <c r="Y31" i="311"/>
  <c r="X31" i="311"/>
  <c r="W31" i="311"/>
  <c r="V31" i="311"/>
  <c r="U31" i="311"/>
  <c r="T31" i="311"/>
  <c r="S31" i="311"/>
  <c r="R31" i="311"/>
  <c r="Q31" i="311"/>
  <c r="M31" i="311"/>
  <c r="L31" i="311"/>
  <c r="K31" i="311"/>
  <c r="J31" i="311"/>
  <c r="I31" i="311"/>
  <c r="H31" i="311"/>
  <c r="G31" i="311"/>
  <c r="F31" i="311"/>
  <c r="E31" i="311"/>
  <c r="D31" i="311"/>
  <c r="C31" i="311"/>
  <c r="B31" i="311"/>
  <c r="AC30" i="311"/>
  <c r="N30" i="311"/>
  <c r="AC29" i="311"/>
  <c r="N29" i="311"/>
  <c r="Q24" i="311"/>
  <c r="B24" i="311"/>
  <c r="AB23" i="311"/>
  <c r="AA23" i="311"/>
  <c r="Z23" i="311"/>
  <c r="Y23" i="311"/>
  <c r="X23" i="311"/>
  <c r="W23" i="311"/>
  <c r="V23" i="311"/>
  <c r="U23" i="311"/>
  <c r="T23" i="311"/>
  <c r="S23" i="311"/>
  <c r="R23" i="311"/>
  <c r="Q23" i="311"/>
  <c r="M23" i="311"/>
  <c r="L23" i="311"/>
  <c r="K23" i="311"/>
  <c r="J23" i="311"/>
  <c r="I23" i="311"/>
  <c r="H23" i="311"/>
  <c r="G23" i="311"/>
  <c r="F23" i="311"/>
  <c r="E23" i="311"/>
  <c r="D23" i="311"/>
  <c r="C23" i="311"/>
  <c r="B23" i="311"/>
  <c r="AC22" i="311"/>
  <c r="N22" i="311"/>
  <c r="AC21" i="311"/>
  <c r="N21" i="311"/>
  <c r="Q16" i="311"/>
  <c r="B16" i="311"/>
  <c r="AB15" i="311"/>
  <c r="M15" i="311"/>
  <c r="AA14" i="311"/>
  <c r="AA15" i="311" s="1"/>
  <c r="Z14" i="311"/>
  <c r="Z15" i="311" s="1"/>
  <c r="Y14" i="311"/>
  <c r="Y15" i="311" s="1"/>
  <c r="X14" i="311"/>
  <c r="X15" i="311" s="1"/>
  <c r="W14" i="311"/>
  <c r="W15" i="311" s="1"/>
  <c r="V14" i="311"/>
  <c r="V15" i="311" s="1"/>
  <c r="U14" i="311"/>
  <c r="U15" i="311" s="1"/>
  <c r="T14" i="311"/>
  <c r="T15" i="311" s="1"/>
  <c r="S14" i="311"/>
  <c r="S15" i="311" s="1"/>
  <c r="R14" i="311"/>
  <c r="R15" i="311" s="1"/>
  <c r="Q14" i="311"/>
  <c r="L14" i="311"/>
  <c r="L15" i="311" s="1"/>
  <c r="K14" i="311"/>
  <c r="K15" i="311" s="1"/>
  <c r="J14" i="311"/>
  <c r="J15" i="311" s="1"/>
  <c r="I14" i="311"/>
  <c r="I15" i="311" s="1"/>
  <c r="H14" i="311"/>
  <c r="H15" i="311" s="1"/>
  <c r="G14" i="311"/>
  <c r="G15" i="311" s="1"/>
  <c r="F14" i="311"/>
  <c r="F15" i="311" s="1"/>
  <c r="E14" i="311"/>
  <c r="E15" i="311" s="1"/>
  <c r="D14" i="311"/>
  <c r="D15" i="311" s="1"/>
  <c r="C14" i="311"/>
  <c r="C15" i="311" s="1"/>
  <c r="B14" i="311"/>
  <c r="AC13" i="311"/>
  <c r="N13" i="311"/>
  <c r="Q8" i="311"/>
  <c r="AB7" i="311"/>
  <c r="AA7" i="311"/>
  <c r="Z7" i="311"/>
  <c r="Y7" i="311"/>
  <c r="X7" i="311"/>
  <c r="W7" i="311"/>
  <c r="V7" i="311"/>
  <c r="U7" i="311"/>
  <c r="T7" i="311"/>
  <c r="S7" i="311"/>
  <c r="R7" i="311"/>
  <c r="Q7" i="311"/>
  <c r="M7" i="311"/>
  <c r="L7" i="311"/>
  <c r="K7" i="311"/>
  <c r="J7" i="311"/>
  <c r="I7" i="311"/>
  <c r="H7" i="311"/>
  <c r="G7" i="311"/>
  <c r="F7" i="311"/>
  <c r="E7" i="311"/>
  <c r="D7" i="311"/>
  <c r="C7" i="311"/>
  <c r="B7" i="311"/>
  <c r="AC6" i="311"/>
  <c r="N6" i="311"/>
  <c r="AC5" i="311"/>
  <c r="B5" i="311"/>
  <c r="B25" i="310"/>
  <c r="L24" i="310"/>
  <c r="K24" i="310"/>
  <c r="J24" i="310"/>
  <c r="I24" i="310"/>
  <c r="H24" i="310"/>
  <c r="G24" i="310"/>
  <c r="F24" i="310"/>
  <c r="E24" i="310"/>
  <c r="D24" i="310"/>
  <c r="C24" i="310"/>
  <c r="B24" i="310"/>
  <c r="N23" i="310"/>
  <c r="N22" i="310"/>
  <c r="N25" i="310" s="1"/>
  <c r="Q17" i="310"/>
  <c r="B17" i="310"/>
  <c r="AB16" i="310"/>
  <c r="AA16" i="310"/>
  <c r="Z16" i="310"/>
  <c r="Y16" i="310"/>
  <c r="X16" i="310"/>
  <c r="W16" i="310"/>
  <c r="V16" i="310"/>
  <c r="U16" i="310"/>
  <c r="T16" i="310"/>
  <c r="S16" i="310"/>
  <c r="R16" i="310"/>
  <c r="Q16" i="310"/>
  <c r="M16" i="310"/>
  <c r="L16" i="310"/>
  <c r="K16" i="310"/>
  <c r="J16" i="310"/>
  <c r="I16" i="310"/>
  <c r="H16" i="310"/>
  <c r="G16" i="310"/>
  <c r="F16" i="310"/>
  <c r="E16" i="310"/>
  <c r="D16" i="310"/>
  <c r="C16" i="310"/>
  <c r="B16" i="310"/>
  <c r="AC15" i="310"/>
  <c r="N15" i="310"/>
  <c r="AC14" i="310"/>
  <c r="AC17" i="310" s="1"/>
  <c r="N14" i="310"/>
  <c r="N17" i="310" s="1"/>
  <c r="B9" i="310"/>
  <c r="Q8" i="310"/>
  <c r="N8" i="310"/>
  <c r="AB7" i="310"/>
  <c r="AA7" i="310"/>
  <c r="Z7" i="310"/>
  <c r="Y7" i="310"/>
  <c r="X7" i="310"/>
  <c r="W7" i="310"/>
  <c r="V7" i="310"/>
  <c r="U7" i="310"/>
  <c r="T7" i="310"/>
  <c r="S7" i="310"/>
  <c r="R7" i="310"/>
  <c r="Q7" i="310"/>
  <c r="M7" i="310"/>
  <c r="L7" i="310"/>
  <c r="K7" i="310"/>
  <c r="J7" i="310"/>
  <c r="I7" i="310"/>
  <c r="H7" i="310"/>
  <c r="G7" i="310"/>
  <c r="F7" i="310"/>
  <c r="E7" i="310"/>
  <c r="D7" i="310"/>
  <c r="C7" i="310"/>
  <c r="B7" i="310"/>
  <c r="AC6" i="310"/>
  <c r="N6" i="310"/>
  <c r="AC5" i="310"/>
  <c r="N5" i="310"/>
  <c r="D8" i="314" l="1"/>
  <c r="C10" i="314"/>
  <c r="C42" i="314"/>
  <c r="D40" i="314"/>
  <c r="C34" i="314"/>
  <c r="D32" i="314"/>
  <c r="C26" i="314"/>
  <c r="D24" i="314"/>
  <c r="C18" i="314"/>
  <c r="D16" i="314"/>
  <c r="R40" i="311"/>
  <c r="C40" i="311"/>
  <c r="Q41" i="311"/>
  <c r="R41" i="311" s="1"/>
  <c r="S41" i="311" s="1"/>
  <c r="T41" i="311" s="1"/>
  <c r="U41" i="311" s="1"/>
  <c r="V41" i="311" s="1"/>
  <c r="W41" i="311" s="1"/>
  <c r="X41" i="311" s="1"/>
  <c r="Y41" i="311" s="1"/>
  <c r="Z41" i="311" s="1"/>
  <c r="AA41" i="311" s="1"/>
  <c r="AB41" i="311" s="1"/>
  <c r="AC39" i="311"/>
  <c r="AC41" i="311" s="1"/>
  <c r="Q42" i="311" s="1"/>
  <c r="B41" i="311"/>
  <c r="C41" i="311" s="1"/>
  <c r="D41" i="311" s="1"/>
  <c r="E41" i="311" s="1"/>
  <c r="F41" i="311" s="1"/>
  <c r="G41" i="311" s="1"/>
  <c r="H41" i="311" s="1"/>
  <c r="I41" i="311" s="1"/>
  <c r="J41" i="311" s="1"/>
  <c r="K41" i="311" s="1"/>
  <c r="L41" i="311" s="1"/>
  <c r="M41" i="311" s="1"/>
  <c r="N39" i="311"/>
  <c r="N41" i="311" s="1"/>
  <c r="B42" i="311" s="1"/>
  <c r="R32" i="311"/>
  <c r="C32" i="311"/>
  <c r="Q33" i="311"/>
  <c r="R33" i="311" s="1"/>
  <c r="S33" i="311" s="1"/>
  <c r="T33" i="311" s="1"/>
  <c r="U33" i="311" s="1"/>
  <c r="V33" i="311" s="1"/>
  <c r="W33" i="311" s="1"/>
  <c r="X33" i="311" s="1"/>
  <c r="Y33" i="311" s="1"/>
  <c r="Z33" i="311" s="1"/>
  <c r="AA33" i="311" s="1"/>
  <c r="AB33" i="311" s="1"/>
  <c r="AC31" i="311"/>
  <c r="AC33" i="311" s="1"/>
  <c r="Q34" i="311" s="1"/>
  <c r="B33" i="311"/>
  <c r="C33" i="311" s="1"/>
  <c r="D33" i="311" s="1"/>
  <c r="E33" i="311" s="1"/>
  <c r="F33" i="311" s="1"/>
  <c r="G33" i="311" s="1"/>
  <c r="H33" i="311" s="1"/>
  <c r="I33" i="311" s="1"/>
  <c r="J33" i="311" s="1"/>
  <c r="K33" i="311" s="1"/>
  <c r="L33" i="311" s="1"/>
  <c r="M33" i="311" s="1"/>
  <c r="N31" i="311"/>
  <c r="N33" i="311" s="1"/>
  <c r="B34" i="311" s="1"/>
  <c r="R24" i="311"/>
  <c r="C24" i="311"/>
  <c r="Q25" i="311"/>
  <c r="R25" i="311" s="1"/>
  <c r="S25" i="311" s="1"/>
  <c r="T25" i="311" s="1"/>
  <c r="U25" i="311" s="1"/>
  <c r="V25" i="311" s="1"/>
  <c r="W25" i="311" s="1"/>
  <c r="X25" i="311" s="1"/>
  <c r="Y25" i="311" s="1"/>
  <c r="Z25" i="311" s="1"/>
  <c r="AA25" i="311" s="1"/>
  <c r="AB25" i="311" s="1"/>
  <c r="AC23" i="311"/>
  <c r="AC25" i="311" s="1"/>
  <c r="Q26" i="311" s="1"/>
  <c r="N23" i="311"/>
  <c r="N25" i="311" s="1"/>
  <c r="B26" i="311" s="1"/>
  <c r="B25" i="311"/>
  <c r="C25" i="311" s="1"/>
  <c r="D25" i="311" s="1"/>
  <c r="E25" i="311" s="1"/>
  <c r="F25" i="311" s="1"/>
  <c r="G25" i="311" s="1"/>
  <c r="H25" i="311" s="1"/>
  <c r="I25" i="311" s="1"/>
  <c r="J25" i="311" s="1"/>
  <c r="K25" i="311" s="1"/>
  <c r="L25" i="311" s="1"/>
  <c r="M25" i="311" s="1"/>
  <c r="R16" i="311"/>
  <c r="C16" i="311"/>
  <c r="Q15" i="311"/>
  <c r="AC15" i="311" s="1"/>
  <c r="AC14" i="311"/>
  <c r="AC17" i="311" s="1"/>
  <c r="Q18" i="311" s="1"/>
  <c r="Q17" i="311"/>
  <c r="R17" i="311" s="1"/>
  <c r="S17" i="311" s="1"/>
  <c r="T17" i="311" s="1"/>
  <c r="U17" i="311" s="1"/>
  <c r="V17" i="311" s="1"/>
  <c r="W17" i="311" s="1"/>
  <c r="X17" i="311" s="1"/>
  <c r="Y17" i="311" s="1"/>
  <c r="Z17" i="311" s="1"/>
  <c r="AA17" i="311" s="1"/>
  <c r="AB17" i="311" s="1"/>
  <c r="N14" i="311"/>
  <c r="B15" i="311"/>
  <c r="R8" i="311"/>
  <c r="AC7" i="311"/>
  <c r="AC9" i="311" s="1"/>
  <c r="Q10" i="311" s="1"/>
  <c r="Q9" i="311"/>
  <c r="R9" i="311" s="1"/>
  <c r="S9" i="311" s="1"/>
  <c r="T9" i="311" s="1"/>
  <c r="U9" i="311" s="1"/>
  <c r="V9" i="311" s="1"/>
  <c r="W9" i="311" s="1"/>
  <c r="X9" i="311" s="1"/>
  <c r="Y9" i="311" s="1"/>
  <c r="Z9" i="311" s="1"/>
  <c r="AA9" i="311" s="1"/>
  <c r="AB9" i="311" s="1"/>
  <c r="B9" i="311"/>
  <c r="C9" i="311" s="1"/>
  <c r="D9" i="311" s="1"/>
  <c r="E9" i="311" s="1"/>
  <c r="F9" i="311" s="1"/>
  <c r="G9" i="311" s="1"/>
  <c r="H9" i="311" s="1"/>
  <c r="I9" i="311" s="1"/>
  <c r="J9" i="311" s="1"/>
  <c r="K9" i="311" s="1"/>
  <c r="L9" i="311" s="1"/>
  <c r="M9" i="311" s="1"/>
  <c r="N7" i="311"/>
  <c r="N9" i="311" s="1"/>
  <c r="B8" i="311"/>
  <c r="N5" i="311"/>
  <c r="C25" i="310"/>
  <c r="N24" i="310"/>
  <c r="N26" i="310" s="1"/>
  <c r="B27" i="310" s="1"/>
  <c r="B26" i="310"/>
  <c r="C26" i="310" s="1"/>
  <c r="D26" i="310" s="1"/>
  <c r="E26" i="310" s="1"/>
  <c r="F26" i="310" s="1"/>
  <c r="G26" i="310" s="1"/>
  <c r="H26" i="310" s="1"/>
  <c r="I26" i="310" s="1"/>
  <c r="J26" i="310" s="1"/>
  <c r="K26" i="310" s="1"/>
  <c r="L26" i="310" s="1"/>
  <c r="M26" i="310" s="1"/>
  <c r="R17" i="310"/>
  <c r="C17" i="310"/>
  <c r="Q18" i="310"/>
  <c r="R18" i="310" s="1"/>
  <c r="S18" i="310" s="1"/>
  <c r="T18" i="310" s="1"/>
  <c r="U18" i="310" s="1"/>
  <c r="V18" i="310" s="1"/>
  <c r="W18" i="310" s="1"/>
  <c r="X18" i="310" s="1"/>
  <c r="Y18" i="310" s="1"/>
  <c r="Z18" i="310" s="1"/>
  <c r="AA18" i="310" s="1"/>
  <c r="AB18" i="310" s="1"/>
  <c r="AC16" i="310"/>
  <c r="AC18" i="310" s="1"/>
  <c r="Q19" i="310" s="1"/>
  <c r="B18" i="310"/>
  <c r="C18" i="310" s="1"/>
  <c r="D18" i="310" s="1"/>
  <c r="E18" i="310" s="1"/>
  <c r="F18" i="310" s="1"/>
  <c r="G18" i="310" s="1"/>
  <c r="H18" i="310" s="1"/>
  <c r="I18" i="310" s="1"/>
  <c r="J18" i="310" s="1"/>
  <c r="K18" i="310" s="1"/>
  <c r="L18" i="310" s="1"/>
  <c r="M18" i="310" s="1"/>
  <c r="N16" i="310"/>
  <c r="N18" i="310" s="1"/>
  <c r="B19" i="310" s="1"/>
  <c r="C9" i="310"/>
  <c r="R8" i="310"/>
  <c r="Q9" i="310"/>
  <c r="R9" i="310" s="1"/>
  <c r="S9" i="310" s="1"/>
  <c r="T9" i="310" s="1"/>
  <c r="U9" i="310" s="1"/>
  <c r="V9" i="310" s="1"/>
  <c r="W9" i="310" s="1"/>
  <c r="X9" i="310" s="1"/>
  <c r="Y9" i="310" s="1"/>
  <c r="Z9" i="310" s="1"/>
  <c r="AA9" i="310" s="1"/>
  <c r="AB9" i="310" s="1"/>
  <c r="AC7" i="310"/>
  <c r="AC9" i="310" s="1"/>
  <c r="Q10" i="310" s="1"/>
  <c r="N7" i="310"/>
  <c r="N10" i="310" s="1"/>
  <c r="B11" i="310" s="1"/>
  <c r="B10" i="310"/>
  <c r="C10" i="310" s="1"/>
  <c r="D10" i="310" s="1"/>
  <c r="E10" i="310" s="1"/>
  <c r="F10" i="310" s="1"/>
  <c r="G10" i="310" s="1"/>
  <c r="H10" i="310" s="1"/>
  <c r="I10" i="310" s="1"/>
  <c r="J10" i="310" s="1"/>
  <c r="K10" i="310" s="1"/>
  <c r="L10" i="310" s="1"/>
  <c r="M10" i="310" s="1"/>
  <c r="E8" i="314" l="1"/>
  <c r="F8" i="314" s="1"/>
  <c r="D10" i="314"/>
  <c r="E40" i="314"/>
  <c r="D42" i="314"/>
  <c r="E32" i="314"/>
  <c r="D34" i="314"/>
  <c r="E24" i="314"/>
  <c r="D26" i="314"/>
  <c r="D18" i="314"/>
  <c r="E16" i="314"/>
  <c r="E10" i="314"/>
  <c r="S40" i="311"/>
  <c r="R42" i="311"/>
  <c r="D40" i="311"/>
  <c r="C42" i="311"/>
  <c r="S32" i="311"/>
  <c r="R34" i="311"/>
  <c r="C34" i="311"/>
  <c r="D32" i="311"/>
  <c r="R26" i="311"/>
  <c r="S24" i="311"/>
  <c r="D24" i="311"/>
  <c r="C26" i="311"/>
  <c r="S16" i="311"/>
  <c r="R18" i="311"/>
  <c r="D16" i="311"/>
  <c r="S8" i="311"/>
  <c r="R10" i="311"/>
  <c r="B10" i="311"/>
  <c r="C8" i="311"/>
  <c r="N15" i="311"/>
  <c r="N17" i="311" s="1"/>
  <c r="B17" i="311"/>
  <c r="C17" i="311" s="1"/>
  <c r="D17" i="311" s="1"/>
  <c r="E17" i="311" s="1"/>
  <c r="F17" i="311" s="1"/>
  <c r="G17" i="311" s="1"/>
  <c r="H17" i="311" s="1"/>
  <c r="I17" i="311" s="1"/>
  <c r="J17" i="311" s="1"/>
  <c r="K17" i="311" s="1"/>
  <c r="L17" i="311" s="1"/>
  <c r="M17" i="311" s="1"/>
  <c r="C27" i="310"/>
  <c r="D25" i="310"/>
  <c r="S17" i="310"/>
  <c r="R19" i="310"/>
  <c r="D17" i="310"/>
  <c r="C19" i="310"/>
  <c r="C11" i="310"/>
  <c r="D9" i="310"/>
  <c r="R10" i="310"/>
  <c r="S8" i="310"/>
  <c r="F40" i="314" l="1"/>
  <c r="E42" i="314"/>
  <c r="F32" i="314"/>
  <c r="E34" i="314"/>
  <c r="F24" i="314"/>
  <c r="E26" i="314"/>
  <c r="E18" i="314"/>
  <c r="F16" i="314"/>
  <c r="G8" i="314"/>
  <c r="F10" i="314"/>
  <c r="T40" i="311"/>
  <c r="S42" i="311"/>
  <c r="E40" i="311"/>
  <c r="D42" i="311"/>
  <c r="T32" i="311"/>
  <c r="S34" i="311"/>
  <c r="D34" i="311"/>
  <c r="E32" i="311"/>
  <c r="S26" i="311"/>
  <c r="T24" i="311"/>
  <c r="E24" i="311"/>
  <c r="D26" i="311"/>
  <c r="T16" i="311"/>
  <c r="S18" i="311"/>
  <c r="D18" i="311"/>
  <c r="E16" i="311"/>
  <c r="T8" i="311"/>
  <c r="S10" i="311"/>
  <c r="D8" i="311"/>
  <c r="C10" i="311"/>
  <c r="B18" i="311"/>
  <c r="C18" i="311"/>
  <c r="E25" i="310"/>
  <c r="D27" i="310"/>
  <c r="S19" i="310"/>
  <c r="T17" i="310"/>
  <c r="E17" i="310"/>
  <c r="D19" i="310"/>
  <c r="D11" i="310"/>
  <c r="E9" i="310"/>
  <c r="T8" i="310"/>
  <c r="S10" i="310"/>
  <c r="G40" i="314" l="1"/>
  <c r="F42" i="314"/>
  <c r="G32" i="314"/>
  <c r="F34" i="314"/>
  <c r="G24" i="314"/>
  <c r="F26" i="314"/>
  <c r="G16" i="314"/>
  <c r="F18" i="314"/>
  <c r="H8" i="314"/>
  <c r="G10" i="314"/>
  <c r="U40" i="311"/>
  <c r="T42" i="311"/>
  <c r="F40" i="311"/>
  <c r="E42" i="311"/>
  <c r="U32" i="311"/>
  <c r="T34" i="311"/>
  <c r="F32" i="311"/>
  <c r="E34" i="311"/>
  <c r="T26" i="311"/>
  <c r="U24" i="311"/>
  <c r="F24" i="311"/>
  <c r="E26" i="311"/>
  <c r="T18" i="311"/>
  <c r="U16" i="311"/>
  <c r="E18" i="311"/>
  <c r="F16" i="311"/>
  <c r="U8" i="311"/>
  <c r="T10" i="311"/>
  <c r="E8" i="311"/>
  <c r="D10" i="311"/>
  <c r="F25" i="310"/>
  <c r="E27" i="310"/>
  <c r="U17" i="310"/>
  <c r="T19" i="310"/>
  <c r="F17" i="310"/>
  <c r="E19" i="310"/>
  <c r="F9" i="310"/>
  <c r="E11" i="310"/>
  <c r="U8" i="310"/>
  <c r="T10" i="310"/>
  <c r="H40" i="314" l="1"/>
  <c r="G42" i="314"/>
  <c r="H32" i="314"/>
  <c r="G34" i="314"/>
  <c r="H24" i="314"/>
  <c r="G26" i="314"/>
  <c r="H16" i="314"/>
  <c r="G18" i="314"/>
  <c r="I8" i="314"/>
  <c r="H10" i="314"/>
  <c r="V40" i="311"/>
  <c r="U42" i="311"/>
  <c r="G40" i="311"/>
  <c r="F42" i="311"/>
  <c r="V32" i="311"/>
  <c r="U34" i="311"/>
  <c r="G32" i="311"/>
  <c r="F34" i="311"/>
  <c r="V24" i="311"/>
  <c r="U26" i="311"/>
  <c r="F26" i="311"/>
  <c r="G24" i="311"/>
  <c r="V16" i="311"/>
  <c r="U18" i="311"/>
  <c r="F18" i="311"/>
  <c r="G16" i="311"/>
  <c r="U10" i="311"/>
  <c r="V8" i="311"/>
  <c r="E10" i="311"/>
  <c r="F8" i="311"/>
  <c r="G25" i="310"/>
  <c r="F27" i="310"/>
  <c r="V17" i="310"/>
  <c r="U19" i="310"/>
  <c r="G17" i="310"/>
  <c r="F19" i="310"/>
  <c r="F11" i="310"/>
  <c r="G9" i="310"/>
  <c r="V8" i="310"/>
  <c r="U10" i="310"/>
  <c r="I40" i="314" l="1"/>
  <c r="H42" i="314"/>
  <c r="I32" i="314"/>
  <c r="H34" i="314"/>
  <c r="I24" i="314"/>
  <c r="H26" i="314"/>
  <c r="I16" i="314"/>
  <c r="H18" i="314"/>
  <c r="J8" i="314"/>
  <c r="I10" i="314"/>
  <c r="W40" i="311"/>
  <c r="V42" i="311"/>
  <c r="H40" i="311"/>
  <c r="G42" i="311"/>
  <c r="V34" i="311"/>
  <c r="W32" i="311"/>
  <c r="H32" i="311"/>
  <c r="G34" i="311"/>
  <c r="W24" i="311"/>
  <c r="V26" i="311"/>
  <c r="G26" i="311"/>
  <c r="H24" i="311"/>
  <c r="W16" i="311"/>
  <c r="V18" i="311"/>
  <c r="H16" i="311"/>
  <c r="G18" i="311"/>
  <c r="V10" i="311"/>
  <c r="W8" i="311"/>
  <c r="G8" i="311"/>
  <c r="F10" i="311"/>
  <c r="G27" i="310"/>
  <c r="H25" i="310"/>
  <c r="V19" i="310"/>
  <c r="W17" i="310"/>
  <c r="H17" i="310"/>
  <c r="G19" i="310"/>
  <c r="H9" i="310"/>
  <c r="G11" i="310"/>
  <c r="V10" i="310"/>
  <c r="W8" i="310"/>
  <c r="J40" i="314" l="1"/>
  <c r="I42" i="314"/>
  <c r="J32" i="314"/>
  <c r="I34" i="314"/>
  <c r="J24" i="314"/>
  <c r="I26" i="314"/>
  <c r="J16" i="314"/>
  <c r="I18" i="314"/>
  <c r="K8" i="314"/>
  <c r="J10" i="314"/>
  <c r="X40" i="311"/>
  <c r="W42" i="311"/>
  <c r="I40" i="311"/>
  <c r="H42" i="311"/>
  <c r="X32" i="311"/>
  <c r="W34" i="311"/>
  <c r="I32" i="311"/>
  <c r="H34" i="311"/>
  <c r="X24" i="311"/>
  <c r="W26" i="311"/>
  <c r="I24" i="311"/>
  <c r="H26" i="311"/>
  <c r="X16" i="311"/>
  <c r="W18" i="311"/>
  <c r="H18" i="311"/>
  <c r="I16" i="311"/>
  <c r="X8" i="311"/>
  <c r="W10" i="311"/>
  <c r="G10" i="311"/>
  <c r="H8" i="311"/>
  <c r="H27" i="310"/>
  <c r="I25" i="310"/>
  <c r="X17" i="310"/>
  <c r="W19" i="310"/>
  <c r="I17" i="310"/>
  <c r="H19" i="310"/>
  <c r="I9" i="310"/>
  <c r="H11" i="310"/>
  <c r="X8" i="310"/>
  <c r="W10" i="310"/>
  <c r="K40" i="314" l="1"/>
  <c r="J42" i="314"/>
  <c r="K32" i="314"/>
  <c r="J34" i="314"/>
  <c r="K24" i="314"/>
  <c r="J26" i="314"/>
  <c r="K16" i="314"/>
  <c r="J18" i="314"/>
  <c r="L8" i="314"/>
  <c r="K10" i="314"/>
  <c r="Y40" i="311"/>
  <c r="X42" i="311"/>
  <c r="J40" i="311"/>
  <c r="I42" i="311"/>
  <c r="Y32" i="311"/>
  <c r="X34" i="311"/>
  <c r="J32" i="311"/>
  <c r="I34" i="311"/>
  <c r="X26" i="311"/>
  <c r="Y24" i="311"/>
  <c r="J24" i="311"/>
  <c r="I26" i="311"/>
  <c r="Y16" i="311"/>
  <c r="X18" i="311"/>
  <c r="J16" i="311"/>
  <c r="I18" i="311"/>
  <c r="X10" i="311"/>
  <c r="Y8" i="311"/>
  <c r="I8" i="311"/>
  <c r="H10" i="311"/>
  <c r="J25" i="310"/>
  <c r="I27" i="310"/>
  <c r="X19" i="310"/>
  <c r="Y17" i="310"/>
  <c r="J17" i="310"/>
  <c r="I19" i="310"/>
  <c r="J9" i="310"/>
  <c r="I11" i="310"/>
  <c r="Y8" i="310"/>
  <c r="X10" i="310"/>
  <c r="L40" i="314" l="1"/>
  <c r="K42" i="314"/>
  <c r="L32" i="314"/>
  <c r="K34" i="314"/>
  <c r="L24" i="314"/>
  <c r="K26" i="314"/>
  <c r="L16" i="314"/>
  <c r="K18" i="314"/>
  <c r="M8" i="314"/>
  <c r="L10" i="314"/>
  <c r="Z40" i="311"/>
  <c r="Y42" i="311"/>
  <c r="K40" i="311"/>
  <c r="J42" i="311"/>
  <c r="Z32" i="311"/>
  <c r="Y34" i="311"/>
  <c r="K32" i="311"/>
  <c r="J34" i="311"/>
  <c r="Y26" i="311"/>
  <c r="Z24" i="311"/>
  <c r="K24" i="311"/>
  <c r="J26" i="311"/>
  <c r="Z16" i="311"/>
  <c r="Y18" i="311"/>
  <c r="J18" i="311"/>
  <c r="K16" i="311"/>
  <c r="Y10" i="311"/>
  <c r="Z8" i="311"/>
  <c r="I10" i="311"/>
  <c r="J8" i="311"/>
  <c r="K25" i="310"/>
  <c r="J27" i="310"/>
  <c r="Z17" i="310"/>
  <c r="Y19" i="310"/>
  <c r="K17" i="310"/>
  <c r="J19" i="310"/>
  <c r="K9" i="310"/>
  <c r="J11" i="310"/>
  <c r="Y10" i="310"/>
  <c r="Z8" i="310"/>
  <c r="M40" i="314" l="1"/>
  <c r="L42" i="314"/>
  <c r="M32" i="314"/>
  <c r="L34" i="314"/>
  <c r="M24" i="314"/>
  <c r="L26" i="314"/>
  <c r="M16" i="314"/>
  <c r="L18" i="314"/>
  <c r="N8" i="314"/>
  <c r="N10" i="314" s="1"/>
  <c r="M10" i="314"/>
  <c r="AA40" i="311"/>
  <c r="Z42" i="311"/>
  <c r="L40" i="311"/>
  <c r="K42" i="311"/>
  <c r="Z34" i="311"/>
  <c r="AA32" i="311"/>
  <c r="K34" i="311"/>
  <c r="L32" i="311"/>
  <c r="AA24" i="311"/>
  <c r="Z26" i="311"/>
  <c r="K26" i="311"/>
  <c r="L24" i="311"/>
  <c r="Z18" i="311"/>
  <c r="AA16" i="311"/>
  <c r="L16" i="311"/>
  <c r="K18" i="311"/>
  <c r="AA8" i="311"/>
  <c r="Z10" i="311"/>
  <c r="K8" i="311"/>
  <c r="J10" i="311"/>
  <c r="L25" i="310"/>
  <c r="K27" i="310"/>
  <c r="AA17" i="310"/>
  <c r="Z19" i="310"/>
  <c r="L17" i="310"/>
  <c r="K19" i="310"/>
  <c r="K11" i="310"/>
  <c r="L9" i="310"/>
  <c r="AA8" i="310"/>
  <c r="Z10" i="310"/>
  <c r="N40" i="314" l="1"/>
  <c r="N42" i="314" s="1"/>
  <c r="M42" i="314"/>
  <c r="N32" i="314"/>
  <c r="N34" i="314" s="1"/>
  <c r="M34" i="314"/>
  <c r="N24" i="314"/>
  <c r="N26" i="314" s="1"/>
  <c r="M26" i="314"/>
  <c r="N16" i="314"/>
  <c r="N18" i="314" s="1"/>
  <c r="M18" i="314"/>
  <c r="AB40" i="311"/>
  <c r="AA42" i="311"/>
  <c r="M40" i="311"/>
  <c r="L42" i="311"/>
  <c r="AA34" i="311"/>
  <c r="AB32" i="311"/>
  <c r="M32" i="311"/>
  <c r="L34" i="311"/>
  <c r="AA26" i="311"/>
  <c r="AB24" i="311"/>
  <c r="M24" i="311"/>
  <c r="L26" i="311"/>
  <c r="AB16" i="311"/>
  <c r="AA18" i="311"/>
  <c r="L18" i="311"/>
  <c r="M16" i="311"/>
  <c r="AA10" i="311"/>
  <c r="AB8" i="311"/>
  <c r="L8" i="311"/>
  <c r="K10" i="311"/>
  <c r="M25" i="310"/>
  <c r="M27" i="310" s="1"/>
  <c r="L27" i="310"/>
  <c r="AB17" i="310"/>
  <c r="AB19" i="310" s="1"/>
  <c r="AA19" i="310"/>
  <c r="M17" i="310"/>
  <c r="M19" i="310" s="1"/>
  <c r="L19" i="310"/>
  <c r="M9" i="310"/>
  <c r="L11" i="310"/>
  <c r="AA10" i="310"/>
  <c r="AB8" i="310"/>
  <c r="AC40" i="311" l="1"/>
  <c r="AB42" i="311"/>
  <c r="N40" i="311"/>
  <c r="M42" i="311"/>
  <c r="AC32" i="311"/>
  <c r="AB34" i="311"/>
  <c r="M34" i="311"/>
  <c r="N32" i="311"/>
  <c r="AB26" i="311"/>
  <c r="AC24" i="311"/>
  <c r="N24" i="311"/>
  <c r="M26" i="311"/>
  <c r="AC16" i="311"/>
  <c r="AB18" i="311"/>
  <c r="N16" i="311"/>
  <c r="M18" i="311"/>
  <c r="AB10" i="311"/>
  <c r="AC8" i="311"/>
  <c r="L10" i="311"/>
  <c r="M8" i="311"/>
  <c r="N9" i="310"/>
  <c r="M11" i="310"/>
  <c r="AC8" i="310"/>
  <c r="AB10" i="310"/>
  <c r="N8" i="311" l="1"/>
  <c r="M10" i="311"/>
</calcChain>
</file>

<file path=xl/sharedStrings.xml><?xml version="1.0" encoding="utf-8"?>
<sst xmlns="http://schemas.openxmlformats.org/spreadsheetml/2006/main" count="248" uniqueCount="49">
  <si>
    <t xml:space="preserve"> </t>
  </si>
  <si>
    <t>(in millions)</t>
  </si>
  <si>
    <t>Actuals</t>
  </si>
  <si>
    <t>Budget</t>
  </si>
  <si>
    <t>Total Actuals YTD</t>
  </si>
  <si>
    <t>Total Budget YTD</t>
  </si>
  <si>
    <t>% Budget Used YTD</t>
  </si>
  <si>
    <t>Fiscal Year 2022</t>
  </si>
  <si>
    <t>FY</t>
  </si>
  <si>
    <t>Fiscal Year 2023</t>
  </si>
  <si>
    <t>2% Excess</t>
  </si>
  <si>
    <t>Interim Cost</t>
  </si>
  <si>
    <t>Fiscal Year 2024</t>
  </si>
  <si>
    <t>Fiscal Year 2025</t>
  </si>
  <si>
    <t>Fiscal Year 2026</t>
  </si>
  <si>
    <t>CapEx FF FY22</t>
  </si>
  <si>
    <t>CapEx NME FY22</t>
  </si>
  <si>
    <t>CapEx FF FY23</t>
  </si>
  <si>
    <t>CapEx NME FY23</t>
  </si>
  <si>
    <t>CapEx FF FY24</t>
  </si>
  <si>
    <t>CapEx NME FY24</t>
  </si>
  <si>
    <t>CapEx FF FY25</t>
  </si>
  <si>
    <t>CapEx NME FY25</t>
  </si>
  <si>
    <t>CapEx FF FY26</t>
  </si>
  <si>
    <t>CapEx NME FY26</t>
  </si>
  <si>
    <t>132 - Hourly</t>
  </si>
  <si>
    <t>133 - OT 2.0</t>
  </si>
  <si>
    <t>134 - OT 1.5</t>
  </si>
  <si>
    <t>Overtime YTD</t>
  </si>
  <si>
    <t>Hourly Salaries YTD</t>
  </si>
  <si>
    <t>OT Metric YTD</t>
  </si>
  <si>
    <t>Data</t>
  </si>
  <si>
    <t>Row Name</t>
  </si>
  <si>
    <t>Source</t>
  </si>
  <si>
    <t>Actual expenditures</t>
  </si>
  <si>
    <t>Mth-Yr-Executive Summary Spreadsheet</t>
  </si>
  <si>
    <t>Approved budget</t>
  </si>
  <si>
    <t>YTD Actuals</t>
  </si>
  <si>
    <t>Actuals YTD</t>
  </si>
  <si>
    <t>FY Budget</t>
  </si>
  <si>
    <t>Approved budget including 2% excess expenditures</t>
  </si>
  <si>
    <t>Total overtime expenses</t>
  </si>
  <si>
    <t>Splash Reporting Tool</t>
  </si>
  <si>
    <t>Total non-exempt base compensation expenses</t>
  </si>
  <si>
    <t>OpEx Data Summary July 21- Present</t>
  </si>
  <si>
    <t>Cap Ex Data Summary July 21 - Present</t>
  </si>
  <si>
    <t>Excess Reserve</t>
  </si>
  <si>
    <t>OPEX</t>
  </si>
  <si>
    <t>Overtime Metric Summary (June 21 to Present)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</si>
</sst>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* #,##0_);_(* \(#,##0\);_(* &quot;-&quot;??_);_(@_)"/>
    <numFmt numFmtId="166" formatCode="0.00_)"/>
    <numFmt numFmtId="167" formatCode="0.0000000_)"/>
    <numFmt numFmtId="168" formatCode="_(&quot;$&quot;* #,##0.0_);_(&quot;$&quot;* \(#,##0.0\);_(&quot;$&quot;* &quot;-&quot;??_);_(@_)"/>
    <numFmt numFmtId="169" formatCode="_(* #,##0.0_);_(* \(#,##0.0\);_(* &quot;-&quot;??_);_(@_)"/>
    <numFmt numFmtId="170" formatCode="0.000000%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 tint="0.14990691854609822"/>
      <name val="Calibri"/>
      <family val="1"/>
      <scheme val="minor"/>
    </font>
    <font>
      <sz val="10"/>
      <color theme="1"/>
      <name val="Arial"/>
      <family val="2"/>
    </font>
    <font>
      <sz val="10"/>
      <color theme="1"/>
      <name val="Arial (body)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sz val="8"/>
      <color theme="1"/>
      <name val="Calibri"/>
      <family val="2"/>
    </font>
    <font>
      <u val="singleAccounting"/>
      <sz val="10"/>
      <color theme="1"/>
      <name val="Calibri"/>
      <family val="2"/>
    </font>
    <font>
      <b/>
      <u/>
      <sz val="11"/>
      <color theme="0"/>
      <name val="Calibri"/>
      <family val="2"/>
    </font>
    <font>
      <b/>
      <sz val="11"/>
      <color theme="0" tint="-4.9989318521683403E-2"/>
      <name val="Calibri"/>
      <family val="2"/>
    </font>
    <font>
      <b/>
      <i/>
      <sz val="11"/>
      <color theme="1"/>
      <name val="Calibri"/>
      <family val="2"/>
      <scheme val="minor"/>
    </font>
    <font>
      <b/>
      <sz val="16"/>
      <color theme="0"/>
      <name val="Calibri"/>
      <family val="2"/>
    </font>
    <font>
      <sz val="10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DEBF7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9" fillId="0" borderId="0"/>
    <xf numFmtId="0" fontId="10" fillId="0" borderId="0"/>
    <xf numFmtId="0" fontId="11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2" fillId="0" borderId="0"/>
    <xf numFmtId="0" fontId="9" fillId="0" borderId="0"/>
    <xf numFmtId="37" fontId="9" fillId="0" borderId="0"/>
    <xf numFmtId="0" fontId="13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0" borderId="0"/>
    <xf numFmtId="166" fontId="9" fillId="0" borderId="0"/>
    <xf numFmtId="43" fontId="10" fillId="0" borderId="0" applyFont="0" applyFill="0" applyBorder="0" applyAlignment="0" applyProtection="0"/>
    <xf numFmtId="0" fontId="9" fillId="0" borderId="0"/>
    <xf numFmtId="167" fontId="9" fillId="0" borderId="0"/>
    <xf numFmtId="0" fontId="9" fillId="0" borderId="0"/>
    <xf numFmtId="0" fontId="9" fillId="0" borderId="0"/>
    <xf numFmtId="44" fontId="4" fillId="0" borderId="0" applyFont="0" applyFill="0" applyBorder="0" applyAlignment="0" applyProtection="0"/>
    <xf numFmtId="0" fontId="10" fillId="0" borderId="0"/>
    <xf numFmtId="44" fontId="4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15" fillId="0" borderId="0" xfId="0" applyFont="1"/>
    <xf numFmtId="0" fontId="18" fillId="0" borderId="0" xfId="0" applyFont="1"/>
    <xf numFmtId="43" fontId="15" fillId="2" borderId="0" xfId="1" applyFont="1" applyFill="1" applyBorder="1"/>
    <xf numFmtId="0" fontId="2" fillId="0" borderId="0" xfId="0" applyFont="1"/>
    <xf numFmtId="0" fontId="7" fillId="0" borderId="0" xfId="0" applyFont="1"/>
    <xf numFmtId="168" fontId="16" fillId="2" borderId="0" xfId="0" applyNumberFormat="1" applyFont="1" applyFill="1"/>
    <xf numFmtId="169" fontId="16" fillId="2" borderId="0" xfId="1" applyNumberFormat="1" applyFont="1" applyFill="1" applyBorder="1"/>
    <xf numFmtId="169" fontId="15" fillId="2" borderId="0" xfId="1" applyNumberFormat="1" applyFont="1" applyFill="1" applyBorder="1"/>
    <xf numFmtId="168" fontId="15" fillId="2" borderId="5" xfId="4" applyNumberFormat="1" applyFont="1" applyFill="1" applyBorder="1"/>
    <xf numFmtId="168" fontId="16" fillId="2" borderId="5" xfId="4" applyNumberFormat="1" applyFont="1" applyFill="1" applyBorder="1"/>
    <xf numFmtId="168" fontId="15" fillId="2" borderId="0" xfId="4" applyNumberFormat="1" applyFont="1" applyFill="1" applyBorder="1"/>
    <xf numFmtId="168" fontId="16" fillId="2" borderId="0" xfId="4" applyNumberFormat="1" applyFont="1" applyFill="1" applyBorder="1"/>
    <xf numFmtId="10" fontId="15" fillId="0" borderId="0" xfId="0" applyNumberFormat="1" applyFont="1"/>
    <xf numFmtId="0" fontId="22" fillId="0" borderId="0" xfId="0" applyFont="1"/>
    <xf numFmtId="43" fontId="15" fillId="2" borderId="3" xfId="1" applyFont="1" applyFill="1" applyBorder="1"/>
    <xf numFmtId="168" fontId="15" fillId="3" borderId="0" xfId="4" applyNumberFormat="1" applyFont="1" applyFill="1"/>
    <xf numFmtId="169" fontId="15" fillId="3" borderId="0" xfId="1" applyNumberFormat="1" applyFont="1" applyFill="1"/>
    <xf numFmtId="0" fontId="20" fillId="4" borderId="1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15" fillId="2" borderId="0" xfId="36" applyFont="1" applyFill="1"/>
    <xf numFmtId="0" fontId="17" fillId="0" borderId="0" xfId="0" applyFont="1"/>
    <xf numFmtId="0" fontId="20" fillId="4" borderId="0" xfId="0" applyFont="1" applyFill="1" applyAlignment="1">
      <alignment horizontal="center"/>
    </xf>
    <xf numFmtId="164" fontId="21" fillId="4" borderId="4" xfId="0" applyNumberFormat="1" applyFont="1" applyFill="1" applyBorder="1" applyAlignment="1">
      <alignment horizontal="center"/>
    </xf>
    <xf numFmtId="164" fontId="21" fillId="4" borderId="7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/>
    <xf numFmtId="0" fontId="1" fillId="2" borderId="5" xfId="0" applyFont="1" applyFill="1" applyBorder="1"/>
    <xf numFmtId="44" fontId="1" fillId="0" borderId="0" xfId="0" applyNumberFormat="1" applyFont="1"/>
    <xf numFmtId="10" fontId="1" fillId="0" borderId="0" xfId="0" applyNumberFormat="1" applyFont="1"/>
    <xf numFmtId="9" fontId="1" fillId="0" borderId="0" xfId="2" applyFont="1" applyBorder="1"/>
    <xf numFmtId="43" fontId="1" fillId="0" borderId="0" xfId="0" applyNumberFormat="1" applyFont="1"/>
    <xf numFmtId="43" fontId="1" fillId="0" borderId="0" xfId="1" applyFont="1"/>
    <xf numFmtId="0" fontId="5" fillId="0" borderId="0" xfId="0" applyFont="1"/>
    <xf numFmtId="43" fontId="1" fillId="0" borderId="0" xfId="1" applyFont="1" applyFill="1"/>
    <xf numFmtId="168" fontId="16" fillId="0" borderId="0" xfId="0" applyNumberFormat="1" applyFont="1"/>
    <xf numFmtId="169" fontId="15" fillId="5" borderId="0" xfId="1" applyNumberFormat="1" applyFont="1" applyFill="1"/>
    <xf numFmtId="168" fontId="15" fillId="5" borderId="0" xfId="4" applyNumberFormat="1" applyFont="1" applyFill="1"/>
    <xf numFmtId="10" fontId="1" fillId="0" borderId="0" xfId="2" applyNumberFormat="1" applyFont="1"/>
    <xf numFmtId="0" fontId="23" fillId="4" borderId="0" xfId="36" applyFont="1" applyFill="1"/>
    <xf numFmtId="0" fontId="14" fillId="4" borderId="0" xfId="36" applyFont="1" applyFill="1"/>
    <xf numFmtId="0" fontId="15" fillId="4" borderId="0" xfId="36" applyFont="1" applyFill="1"/>
    <xf numFmtId="0" fontId="1" fillId="2" borderId="11" xfId="0" applyFont="1" applyFill="1" applyBorder="1"/>
    <xf numFmtId="0" fontId="1" fillId="2" borderId="12" xfId="0" applyFont="1" applyFill="1" applyBorder="1"/>
    <xf numFmtId="44" fontId="15" fillId="2" borderId="8" xfId="4" applyFont="1" applyFill="1" applyBorder="1"/>
    <xf numFmtId="44" fontId="15" fillId="2" borderId="6" xfId="4" applyFont="1" applyFill="1" applyBorder="1"/>
    <xf numFmtId="43" fontId="15" fillId="2" borderId="8" xfId="1" applyFont="1" applyFill="1" applyBorder="1"/>
    <xf numFmtId="43" fontId="15" fillId="2" borderId="6" xfId="1" applyFont="1" applyFill="1" applyBorder="1"/>
    <xf numFmtId="43" fontId="19" fillId="2" borderId="8" xfId="1" applyFont="1" applyFill="1" applyBorder="1"/>
    <xf numFmtId="43" fontId="19" fillId="2" borderId="6" xfId="1" applyFont="1" applyFill="1" applyBorder="1"/>
    <xf numFmtId="43" fontId="15" fillId="2" borderId="12" xfId="1" applyFont="1" applyFill="1" applyBorder="1"/>
    <xf numFmtId="43" fontId="15" fillId="2" borderId="13" xfId="1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10" fontId="16" fillId="2" borderId="15" xfId="2" applyNumberFormat="1" applyFont="1" applyFill="1" applyBorder="1" applyAlignment="1">
      <alignment horizontal="center"/>
    </xf>
    <xf numFmtId="10" fontId="16" fillId="2" borderId="16" xfId="2" applyNumberFormat="1" applyFont="1" applyFill="1" applyBorder="1" applyAlignment="1">
      <alignment horizontal="center"/>
    </xf>
    <xf numFmtId="164" fontId="21" fillId="4" borderId="9" xfId="0" applyNumberFormat="1" applyFont="1" applyFill="1" applyBorder="1" applyAlignment="1">
      <alignment horizontal="center"/>
    </xf>
    <xf numFmtId="164" fontId="21" fillId="4" borderId="10" xfId="0" applyNumberFormat="1" applyFont="1" applyFill="1" applyBorder="1" applyAlignment="1">
      <alignment horizontal="center"/>
    </xf>
    <xf numFmtId="170" fontId="15" fillId="0" borderId="0" xfId="0" applyNumberFormat="1" applyFont="1"/>
    <xf numFmtId="168" fontId="15" fillId="0" borderId="0" xfId="4" applyNumberFormat="1" applyFont="1" applyFill="1"/>
    <xf numFmtId="169" fontId="15" fillId="0" borderId="0" xfId="1" applyNumberFormat="1" applyFont="1" applyFill="1"/>
    <xf numFmtId="169" fontId="15" fillId="0" borderId="0" xfId="1" applyNumberFormat="1" applyFont="1" applyFill="1" applyBorder="1"/>
    <xf numFmtId="169" fontId="1" fillId="0" borderId="0" xfId="1" applyNumberFormat="1" applyFont="1"/>
    <xf numFmtId="6" fontId="1" fillId="0" borderId="0" xfId="0" applyNumberFormat="1" applyFont="1"/>
    <xf numFmtId="0" fontId="20" fillId="0" borderId="0" xfId="0" applyFont="1" applyAlignment="1">
      <alignment horizontal="center"/>
    </xf>
    <xf numFmtId="164" fontId="21" fillId="0" borderId="0" xfId="0" applyNumberFormat="1" applyFont="1" applyAlignment="1">
      <alignment horizontal="center"/>
    </xf>
    <xf numFmtId="168" fontId="15" fillId="0" borderId="0" xfId="4" applyNumberFormat="1" applyFont="1" applyFill="1" applyBorder="1"/>
    <xf numFmtId="169" fontId="15" fillId="0" borderId="0" xfId="4" applyNumberFormat="1" applyFont="1" applyFill="1" applyBorder="1"/>
    <xf numFmtId="169" fontId="16" fillId="0" borderId="0" xfId="1" applyNumberFormat="1" applyFont="1" applyFill="1" applyBorder="1"/>
    <xf numFmtId="168" fontId="16" fillId="0" borderId="0" xfId="4" applyNumberFormat="1" applyFont="1" applyFill="1" applyBorder="1"/>
    <xf numFmtId="0" fontId="1" fillId="0" borderId="0" xfId="0" applyFont="1" applyAlignment="1">
      <alignment wrapText="1"/>
    </xf>
    <xf numFmtId="0" fontId="18" fillId="2" borderId="0" xfId="0" applyFont="1" applyFill="1"/>
    <xf numFmtId="0" fontId="24" fillId="2" borderId="0" xfId="36" applyFont="1" applyFill="1"/>
    <xf numFmtId="165" fontId="1" fillId="2" borderId="0" xfId="37" applyNumberFormat="1" applyFont="1" applyFill="1" applyBorder="1"/>
    <xf numFmtId="10" fontId="16" fillId="2" borderId="0" xfId="2" applyNumberFormat="1" applyFont="1" applyFill="1" applyBorder="1" applyAlignment="1">
      <alignment horizontal="center"/>
    </xf>
    <xf numFmtId="44" fontId="15" fillId="2" borderId="0" xfId="36" applyNumberFormat="1" applyFont="1" applyFill="1"/>
    <xf numFmtId="0" fontId="23" fillId="4" borderId="0" xfId="0" applyFont="1" applyFill="1" applyAlignment="1">
      <alignment horizontal="left"/>
    </xf>
  </cellXfs>
  <cellStyles count="38">
    <cellStyle name="Comma" xfId="1" builtinId="3"/>
    <cellStyle name="Comma 13" xfId="34" xr:uid="{D1D972BD-FEFA-4F35-823E-C7BEC9DC53AC}"/>
    <cellStyle name="Comma 2" xfId="7" xr:uid="{B51C2576-56A7-4053-9C48-434515A721DA}"/>
    <cellStyle name="Comma 2 2" xfId="18" xr:uid="{874BE41E-6E4C-4719-9A95-19474A969141}"/>
    <cellStyle name="Comma 2 2 2" xfId="23" xr:uid="{1678D930-DD75-49CE-92CF-E9179C17C493}"/>
    <cellStyle name="Comma 3" xfId="12" xr:uid="{8B5513E0-FF87-4B43-9A61-52DBA9FB7302}"/>
    <cellStyle name="Comma 4" xfId="19" xr:uid="{D461F40F-EBE4-4DE4-84D4-DE3783E69ABC}"/>
    <cellStyle name="Comma 5 2" xfId="37" xr:uid="{79726C9F-F059-4724-9679-4E618C0A6903}"/>
    <cellStyle name="Currency" xfId="4" builtinId="4"/>
    <cellStyle name="Currency 13" xfId="35" xr:uid="{1D66099D-61F6-4C7C-ABF3-429C1ACFFBE6}"/>
    <cellStyle name="Currency 2" xfId="13" xr:uid="{9B9EA8C6-B3DD-4ABE-AC18-A9EC310F9D7F}"/>
    <cellStyle name="Currency 2 2" xfId="31" xr:uid="{609F9685-12CB-47B1-9E55-3C83F4C00A7C}"/>
    <cellStyle name="Currency 7" xfId="28" xr:uid="{C62C1395-0823-4757-92B2-338BCE758579}"/>
    <cellStyle name="Currency 8" xfId="30" xr:uid="{1F0EC2A3-0908-4321-8509-8100437CC403}"/>
    <cellStyle name="Hyperlink 2" xfId="6" xr:uid="{07EE8DA5-97F4-4464-A520-D8BD742108D4}"/>
    <cellStyle name="Normal" xfId="0" builtinId="0"/>
    <cellStyle name="Normal 16" xfId="33" xr:uid="{B40F0E14-D74C-4E00-8AD8-ABEE141A35F3}"/>
    <cellStyle name="Normal 2" xfId="5" xr:uid="{B63AB893-71D4-419A-98BE-294578F9075D}"/>
    <cellStyle name="Normal 2 14" xfId="29" xr:uid="{88B7F8B5-E3F8-4BF4-808D-FDD11613EBEF}"/>
    <cellStyle name="Normal 2 2" xfId="10" xr:uid="{E244BB18-1D23-4F5B-B067-F7FD3225D0D1}"/>
    <cellStyle name="Normal 2 2 2" xfId="14" xr:uid="{00FE8835-6772-4A40-9676-583EAB7F67A8}"/>
    <cellStyle name="Normal 2 2 2 2" xfId="16" xr:uid="{9DAC8572-6CCA-4B07-8FE2-5C7ACC3473F5}"/>
    <cellStyle name="Normal 2 2 2 3" xfId="36" xr:uid="{91A21371-2E9D-4231-ADB0-723663AFE650}"/>
    <cellStyle name="Normal 2 5" xfId="22" xr:uid="{5F5DD407-160A-433B-B266-1A360232910B}"/>
    <cellStyle name="Normal 2 6" xfId="9" xr:uid="{E277B020-9067-478F-834A-6A2671C4CF7A}"/>
    <cellStyle name="Normal 3" xfId="11" xr:uid="{052A50DF-FF00-489A-86B9-5FC47A430616}"/>
    <cellStyle name="Normal 3 2" xfId="25" xr:uid="{CB6394AB-5C3D-469B-8D9A-5E307CCFC56E}"/>
    <cellStyle name="Normal 4" xfId="17" xr:uid="{2D93BFF9-1215-46E9-8C86-7E461A49655C}"/>
    <cellStyle name="Normal 4 2" xfId="26" xr:uid="{01C3BEFB-8033-4E28-B116-AE6A2E2992D1}"/>
    <cellStyle name="Normal 4 2 2" xfId="27" xr:uid="{9A2BAFD1-2333-4EA6-8D3A-BBF8D834B0ED}"/>
    <cellStyle name="Normal 4 3" xfId="24" xr:uid="{B0B848A7-D252-43FC-B195-1EF589CCC496}"/>
    <cellStyle name="Normal 5" xfId="15" xr:uid="{29A76013-F0D3-44C4-9521-0316A5A16141}"/>
    <cellStyle name="Normal 5 2" xfId="32" xr:uid="{64663905-B6D2-4FC4-A17A-35EEDB0319B1}"/>
    <cellStyle name="Normal 65" xfId="21" xr:uid="{30DDD04D-0350-4811-B31F-99132C5D6014}"/>
    <cellStyle name="Normal 9" xfId="3" xr:uid="{02C7633C-AE28-4D1F-89FB-208B499EB0A4}"/>
    <cellStyle name="Percent" xfId="2" builtinId="5"/>
    <cellStyle name="Percent 2" xfId="8" xr:uid="{77B63DC2-108E-4132-A173-5EC0980AC76F}"/>
    <cellStyle name="Percent 3" xfId="20" xr:uid="{248DCB81-5E50-4C70-AA8F-4C461398308D}"/>
  </cellStyles>
  <dxfs count="467"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vertAlign val="baseline"/>
        <name val="Calibri"/>
        <family val="2"/>
        <scheme val="none"/>
      </font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4" formatCode="0.0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 tint="-4.9989318521683403E-2"/>
        <name val="Calibri"/>
        <family val="2"/>
        <scheme val="none"/>
      </font>
      <numFmt numFmtId="164" formatCode="[$-409]mmm\-yy;@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DEBF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70896E7-D608-48CB-9B86-8E917149D5F0}" name="OpExFY2215" displayName="OpExFY2215" ref="A4:N11" headerRowCount="0" totalsRowShown="0" headerRowDxfId="466" dataDxfId="465" tableBorderDxfId="464">
  <tableColumns count="14">
    <tableColumn id="1" xr3:uid="{4DAD36A1-83B6-4C72-8C6A-EEB568500DB8}" name="Month" headerRowDxfId="463" dataDxfId="462"/>
    <tableColumn id="2" xr3:uid="{30312E63-88C7-4BDD-BD2C-62E99F6AA1BA}" name="July" headerRowDxfId="461" dataDxfId="460" dataCellStyle="Percent"/>
    <tableColumn id="3" xr3:uid="{7AD6B118-003C-4569-950C-07528ADA0719}" name="August" headerRowDxfId="459" dataDxfId="458" dataCellStyle="Percent"/>
    <tableColumn id="4" xr3:uid="{C61CF6DB-B7DB-46A5-9D4F-C85068969597}" name="September" headerRowDxfId="457" dataDxfId="456" dataCellStyle="Percent"/>
    <tableColumn id="5" xr3:uid="{E31C3967-A1C1-4805-B022-711D089CE270}" name="October" headerRowDxfId="455" dataDxfId="454" dataCellStyle="Percent"/>
    <tableColumn id="6" xr3:uid="{8E75AEF4-75E3-418E-83D9-C3CAEC3CD8ED}" name="November" headerRowDxfId="453" dataDxfId="452" dataCellStyle="Percent"/>
    <tableColumn id="7" xr3:uid="{502A9BF8-78AD-4268-ADA6-667F61FA8B6E}" name="December" headerRowDxfId="451" dataDxfId="450" dataCellStyle="Percent"/>
    <tableColumn id="8" xr3:uid="{C7BE7FD8-C53E-44CC-BE94-0C18E4C83D65}" name="January" headerRowDxfId="449" dataDxfId="448" dataCellStyle="Percent"/>
    <tableColumn id="9" xr3:uid="{594DE939-A2BF-41AF-B707-4C526BFAF081}" name="February" headerRowDxfId="447" dataDxfId="446" dataCellStyle="Percent"/>
    <tableColumn id="10" xr3:uid="{5997A89A-5837-40D3-BAAE-85EC6FC2434D}" name="March" headerRowDxfId="445" dataDxfId="444"/>
    <tableColumn id="11" xr3:uid="{972340DE-AE72-43A2-9A6F-2471A4DCD2DD}" name="April" headerRowDxfId="443" dataDxfId="442"/>
    <tableColumn id="12" xr3:uid="{F0C29733-F2F4-4847-957A-9F23F0F203AF}" name="May" headerRowDxfId="441" dataDxfId="440"/>
    <tableColumn id="13" xr3:uid="{23DD7642-E4F0-49FE-9EF2-2BD7FDE279CD}" name="June" headerRowDxfId="439" dataDxfId="438"/>
    <tableColumn id="14" xr3:uid="{1EDC202C-FA45-46E5-B917-B361D5514EE6}" name="FY" headerRowDxfId="437" dataDxfId="436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D7340E4-37C5-48F2-9640-AB989CB9C0F2}" name="OpExFY2318" displayName="OpExFY2318" ref="P4:AC10" headerRowCount="0" totalsRowShown="0" headerRowDxfId="435" dataDxfId="434" tableBorderDxfId="433">
  <tableColumns count="14">
    <tableColumn id="1" xr3:uid="{1FB37ECD-404C-483F-95B6-1E02183AA758}" name="Month" headerRowDxfId="432" dataDxfId="431"/>
    <tableColumn id="2" xr3:uid="{3464284D-A5CB-4325-B974-7CBF2553D1F9}" name="July" headerRowDxfId="430" dataDxfId="429" dataCellStyle="Percent"/>
    <tableColumn id="3" xr3:uid="{B580B095-002E-4140-9C50-44E6E125A351}" name="August" headerRowDxfId="428" dataDxfId="427" dataCellStyle="Percent"/>
    <tableColumn id="4" xr3:uid="{2EE7862C-1826-49E3-8AE8-3464A2A969B6}" name="September" headerRowDxfId="426" dataDxfId="425" dataCellStyle="Percent"/>
    <tableColumn id="5" xr3:uid="{7508B7D8-75C3-47EC-A82A-949DD5A9CA0D}" name="October" headerRowDxfId="424" dataDxfId="423" dataCellStyle="Percent"/>
    <tableColumn id="6" xr3:uid="{544717B7-1856-42A6-8D36-4CFFDBB37C10}" name="November" headerRowDxfId="422" dataDxfId="421" dataCellStyle="Percent"/>
    <tableColumn id="7" xr3:uid="{4ACB4A7E-E885-44D9-B967-FF619421B695}" name="December" headerRowDxfId="420" dataDxfId="419" dataCellStyle="Percent"/>
    <tableColumn id="8" xr3:uid="{B493C3D0-CED7-482E-8284-D90B1BC09791}" name="January" headerRowDxfId="418" dataDxfId="417" dataCellStyle="Percent"/>
    <tableColumn id="9" xr3:uid="{445DD16A-8F91-4A23-8CFD-B57BCDBA223D}" name="February" headerRowDxfId="416" dataDxfId="415" dataCellStyle="Percent"/>
    <tableColumn id="10" xr3:uid="{8655B558-3483-4519-8EB1-B4CE0C85AAE1}" name="March" headerRowDxfId="414" dataDxfId="413"/>
    <tableColumn id="11" xr3:uid="{C310DA6A-0D54-48B8-9D0F-D978DDBDDA45}" name="April" headerRowDxfId="412" dataDxfId="411"/>
    <tableColumn id="12" xr3:uid="{F2466E8F-643E-492B-92D6-180870C3FAD6}" name="May" headerRowDxfId="410" dataDxfId="409"/>
    <tableColumn id="13" xr3:uid="{5CF29050-7D14-411F-94B4-B21FC8314E53}" name="June" headerRowDxfId="408" dataDxfId="407"/>
    <tableColumn id="14" xr3:uid="{22DCEE17-F20E-4481-932D-B1E3103CAE93}" name="FY" headerRowDxfId="406" dataDxfId="405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3BC1AA2-FECE-40DC-8733-7D22CA97B1D5}" name="OpExFY23219" displayName="OpExFY23219" ref="A13:N19" headerRowCount="0" totalsRowShown="0" headerRowDxfId="404" dataDxfId="403" tableBorderDxfId="402">
  <tableColumns count="14">
    <tableColumn id="1" xr3:uid="{7DF26FE6-F2AC-4B56-8D6A-FB9F6A1FC3E4}" name="Month" headerRowDxfId="401" dataDxfId="400"/>
    <tableColumn id="2" xr3:uid="{D8FC89EB-91F4-46ED-BE93-F2C446BDFC6A}" name="July" headerRowDxfId="399" dataDxfId="398" dataCellStyle="Percent"/>
    <tableColumn id="3" xr3:uid="{CB105123-91E2-4B32-BEE3-F6FBBDE2448D}" name="August" headerRowDxfId="397" dataDxfId="396" dataCellStyle="Percent"/>
    <tableColumn id="4" xr3:uid="{75212379-119E-43D5-AB25-70C3A22C5BC4}" name="September" headerRowDxfId="395" dataDxfId="394" dataCellStyle="Percent"/>
    <tableColumn id="5" xr3:uid="{832CB45B-FDC8-43AB-827D-F3F1013B22A8}" name="October" headerRowDxfId="393" dataDxfId="392" dataCellStyle="Percent"/>
    <tableColumn id="6" xr3:uid="{ADD69822-593C-4F40-9BD0-BE88FFA5CB22}" name="November" headerRowDxfId="391" dataDxfId="390" dataCellStyle="Percent"/>
    <tableColumn id="7" xr3:uid="{C7435A97-100D-4B5C-9366-6649F7AA7992}" name="December" headerRowDxfId="389" dataDxfId="388" dataCellStyle="Percent"/>
    <tableColumn id="8" xr3:uid="{DC920DC9-8CFE-4DF9-B7A0-F12AA98DF787}" name="January" headerRowDxfId="387" dataDxfId="386" dataCellStyle="Percent"/>
    <tableColumn id="9" xr3:uid="{32DC0FC9-2BB2-418F-B0AF-E8E57D81C950}" name="February" headerRowDxfId="385" dataDxfId="384" dataCellStyle="Percent"/>
    <tableColumn id="10" xr3:uid="{DF329DFF-0721-408E-99B9-84A33600CF06}" name="March" headerRowDxfId="383" dataDxfId="382"/>
    <tableColumn id="11" xr3:uid="{74FF3400-23AC-4828-9C63-3C91A9AD5B44}" name="April" headerRowDxfId="381" dataDxfId="380"/>
    <tableColumn id="12" xr3:uid="{6025492A-5F2D-49E6-BFEA-8E97361E0402}" name="May" headerRowDxfId="379" dataDxfId="378"/>
    <tableColumn id="13" xr3:uid="{D0E0F94F-DE6C-4394-8105-16CDE71B9639}" name="June" headerRowDxfId="377" dataDxfId="376"/>
    <tableColumn id="14" xr3:uid="{FA89F7B9-1EC4-4B9E-B5CC-D98BE0F2F994}" name="FY" headerRowDxfId="375" dataDxfId="374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5EEBA0C-10F8-4740-88BF-E3DD46DDEA45}" name="OpExFY232520" displayName="OpExFY232520" ref="P13:AC19" headerRowCount="0" totalsRowShown="0" headerRowDxfId="373" dataDxfId="372" tableBorderDxfId="371">
  <tableColumns count="14">
    <tableColumn id="1" xr3:uid="{F5A9F2B3-F634-415C-B365-28BA811E798A}" name="Month" headerRowDxfId="370" dataDxfId="369"/>
    <tableColumn id="2" xr3:uid="{86421A89-29D5-4F63-BE2F-BCFDC488D2AA}" name="July" headerRowDxfId="368" dataDxfId="367" dataCellStyle="Percent"/>
    <tableColumn id="3" xr3:uid="{D4FF4FF3-E453-474C-B305-A4B45451DC5A}" name="August" headerRowDxfId="366" dataDxfId="365" dataCellStyle="Percent"/>
    <tableColumn id="4" xr3:uid="{62954316-2E20-4871-B0C4-7942E13E3A2D}" name="September" headerRowDxfId="364" dataDxfId="363" dataCellStyle="Percent"/>
    <tableColumn id="5" xr3:uid="{D89D2FC4-3A74-457B-8CAA-3BC408104329}" name="October" headerRowDxfId="362" dataDxfId="361" dataCellStyle="Percent"/>
    <tableColumn id="6" xr3:uid="{6659E073-D8D4-4226-8F99-703C4A1A4BD0}" name="November" headerRowDxfId="360" dataDxfId="359" dataCellStyle="Percent"/>
    <tableColumn id="7" xr3:uid="{A6B96587-74B2-477B-8EEE-709033967A10}" name="December" headerRowDxfId="358" dataDxfId="357" dataCellStyle="Percent"/>
    <tableColumn id="8" xr3:uid="{2E6C7115-86CD-4821-9207-067D1586C7C9}" name="January" headerRowDxfId="356" dataDxfId="355" dataCellStyle="Percent"/>
    <tableColumn id="9" xr3:uid="{B1436D73-71EA-4FFD-A8E2-DCF4782B4BFB}" name="February" headerRowDxfId="354" dataDxfId="353" dataCellStyle="Percent"/>
    <tableColumn id="10" xr3:uid="{86EEBF9E-C848-4842-917F-1D3D57B694C9}" name="March" headerRowDxfId="352" dataDxfId="351"/>
    <tableColumn id="11" xr3:uid="{73D2D671-70EA-44C5-9AAF-D38B20163E89}" name="April" headerRowDxfId="350" dataDxfId="349"/>
    <tableColumn id="12" xr3:uid="{8E7E2D9B-D3E6-4F2D-8039-F47BC71648EA}" name="May" headerRowDxfId="348" dataDxfId="347"/>
    <tableColumn id="13" xr3:uid="{992363CB-243D-4C0F-A260-6A40E3DAE4D6}" name="June" headerRowDxfId="346" dataDxfId="345"/>
    <tableColumn id="14" xr3:uid="{F0D8663C-5E80-4C26-83DF-DC4E7532E7A3}" name="FY" headerRowDxfId="344" dataDxfId="343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A339E5E-DEEE-43E2-B086-6094205F636F}" name="OpExFY2325221" displayName="OpExFY2325221" ref="A21:N27" headerRowCount="0" totalsRowShown="0" headerRowDxfId="342" dataDxfId="341" tableBorderDxfId="340">
  <tableColumns count="14">
    <tableColumn id="1" xr3:uid="{1E8294DD-4895-431A-AB38-F29389EA7139}" name="Month" headerRowDxfId="339" dataDxfId="338"/>
    <tableColumn id="2" xr3:uid="{AB200796-B126-4A74-A7E7-666981FC1F3A}" name="July" headerRowDxfId="337" dataDxfId="336" dataCellStyle="Percent"/>
    <tableColumn id="3" xr3:uid="{3519DA92-31AB-435A-B2D4-F927390E8D63}" name="August" headerRowDxfId="335" dataDxfId="334" dataCellStyle="Percent"/>
    <tableColumn id="4" xr3:uid="{E47BE10C-60C8-4210-B383-CEE1D513A2F7}" name="September" headerRowDxfId="333" dataDxfId="332" dataCellStyle="Percent"/>
    <tableColumn id="5" xr3:uid="{E9CACECE-F54C-41AF-BAAD-AE9318F958E2}" name="October" headerRowDxfId="331" dataDxfId="330" dataCellStyle="Percent"/>
    <tableColumn id="6" xr3:uid="{EE74D84E-E913-459B-BF37-8085FDB6BE43}" name="November" headerRowDxfId="329" dataDxfId="328" dataCellStyle="Percent"/>
    <tableColumn id="7" xr3:uid="{3979060A-F6D3-469D-A3F9-C73F075BED31}" name="December" headerRowDxfId="327" dataDxfId="326" dataCellStyle="Percent"/>
    <tableColumn id="8" xr3:uid="{36A32DE1-0BF2-4BCA-9926-C9F68C22566F}" name="January" headerRowDxfId="325" dataDxfId="324" dataCellStyle="Percent"/>
    <tableColumn id="9" xr3:uid="{06D2F47A-6702-43D0-859B-15055A1A82A6}" name="February" headerRowDxfId="323" dataDxfId="322" dataCellStyle="Percent"/>
    <tableColumn id="10" xr3:uid="{46E11090-9418-410C-965A-E0A8AF82C337}" name="March" headerRowDxfId="321" dataDxfId="320"/>
    <tableColumn id="11" xr3:uid="{6C03C4E7-740E-47BA-AC28-A1E9F8E6D6AF}" name="April" headerRowDxfId="319" dataDxfId="318"/>
    <tableColumn id="12" xr3:uid="{B3BA22F0-985F-4A30-BB68-43DF6373990E}" name="May" headerRowDxfId="317" dataDxfId="316"/>
    <tableColumn id="13" xr3:uid="{8B5727F2-E9A4-4872-9DF7-6C5E9A5213B6}" name="June" headerRowDxfId="315" dataDxfId="314"/>
    <tableColumn id="14" xr3:uid="{AE265FAB-CB47-4BB9-8CB0-13B79CEA2FFA}" name="FY" headerRowDxfId="313" dataDxfId="312"/>
  </tableColumns>
  <tableStyleInfo name="TableStyleMedium2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C5D9A97-FB88-490E-88FD-A88F8DD8881A}" name="CapExFFFY221522" displayName="CapExFFFY221522" ref="A4:N10" headerRowCount="0" totalsRowShown="0" headerRowDxfId="311" dataDxfId="310" tableBorderDxfId="309">
  <tableColumns count="14">
    <tableColumn id="1" xr3:uid="{67BDAC6A-0491-4C90-9FAF-6EF494118B3B}" name="Month" headerRowDxfId="308" dataDxfId="307"/>
    <tableColumn id="2" xr3:uid="{B41AF571-15F3-4852-96EE-419C4C8B612B}" name="July" headerRowDxfId="306" dataDxfId="305" dataCellStyle="Percent"/>
    <tableColumn id="3" xr3:uid="{6491B6DA-6943-486E-A417-A40E937C9B06}" name="August" headerRowDxfId="304" dataDxfId="303" dataCellStyle="Percent"/>
    <tableColumn id="4" xr3:uid="{E164A859-F2F1-4B7D-84C7-E4AD5181741C}" name="September" headerRowDxfId="302" dataDxfId="301" dataCellStyle="Percent"/>
    <tableColumn id="5" xr3:uid="{92360278-C841-4997-AA67-7123286E2E3F}" name="October" headerRowDxfId="300" dataDxfId="299" dataCellStyle="Percent"/>
    <tableColumn id="6" xr3:uid="{06AFDECD-0539-418C-A79B-6084C8E203E3}" name="November" headerRowDxfId="298" dataDxfId="297" dataCellStyle="Percent"/>
    <tableColumn id="7" xr3:uid="{3F3C6607-C47C-4D73-A9F3-301B61AA862D}" name="December" headerRowDxfId="296" dataDxfId="295" dataCellStyle="Percent"/>
    <tableColumn id="8" xr3:uid="{5FC15477-B8E6-4704-8C57-9603708DF9F6}" name="January" headerRowDxfId="294" dataDxfId="293" dataCellStyle="Percent"/>
    <tableColumn id="9" xr3:uid="{A6C38F27-FA0E-4625-B227-9A6B11CEFE6B}" name="February" headerRowDxfId="292" dataDxfId="291" dataCellStyle="Percent"/>
    <tableColumn id="10" xr3:uid="{029EEDFF-B778-4A4C-AD61-CC809ADEF524}" name="March" headerRowDxfId="290" dataDxfId="289"/>
    <tableColumn id="11" xr3:uid="{0E127F66-F204-45E5-A4C3-800398695493}" name="April" headerRowDxfId="288" dataDxfId="287"/>
    <tableColumn id="12" xr3:uid="{B1C9E6FB-B3C4-4A57-AD1E-6372FF278077}" name="May" headerRowDxfId="286" dataDxfId="285"/>
    <tableColumn id="13" xr3:uid="{89E329E7-0807-48BC-AFB3-CE9BC58F9BAE}" name="June" headerRowDxfId="284" dataDxfId="283"/>
    <tableColumn id="14" xr3:uid="{69206FA2-92E5-4EE3-B1BE-E46BB636BF5D}" name="FY" headerRowDxfId="282" dataDxfId="281"/>
  </tableColumns>
  <tableStyleInfo name="TableStyleMedium2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E60BF63-EFD7-4B82-B83F-AC914D5E968A}" name="CapEXNMEFY221623" displayName="CapEXNMEFY221623" ref="P4:AC10" headerRowCount="0" totalsRowShown="0" headerRowDxfId="280" dataDxfId="279" tableBorderDxfId="278">
  <tableColumns count="14">
    <tableColumn id="1" xr3:uid="{2F84011D-1496-4AFA-80B4-E22D76ADC86A}" name="Month" headerRowDxfId="277" dataDxfId="276"/>
    <tableColumn id="2" xr3:uid="{847AC858-6901-4BD1-9E9D-B4F3B7222E54}" name="July" headerRowDxfId="275" dataDxfId="274" dataCellStyle="Percent"/>
    <tableColumn id="3" xr3:uid="{E6189784-C9B4-439A-B48F-E03C7F558F5E}" name="August" headerRowDxfId="273" dataDxfId="272" dataCellStyle="Percent"/>
    <tableColumn id="4" xr3:uid="{0ED18006-CF51-4639-9E12-71CE0D033C1E}" name="September" headerRowDxfId="271" dataDxfId="270" dataCellStyle="Percent"/>
    <tableColumn id="5" xr3:uid="{A6C5512E-729C-42A6-BDD9-B94B78DDF81F}" name="October" headerRowDxfId="269" dataDxfId="268" dataCellStyle="Percent"/>
    <tableColumn id="6" xr3:uid="{0733FE55-7B5B-4137-A060-A9923061898A}" name="November" headerRowDxfId="267" dataDxfId="266" dataCellStyle="Percent"/>
    <tableColumn id="7" xr3:uid="{3E40406B-8045-45DD-918F-9E882FA0C8F5}" name="December" headerRowDxfId="265" dataDxfId="264" dataCellStyle="Percent"/>
    <tableColumn id="8" xr3:uid="{40A1E5C2-1B4C-43DF-AC70-88BFB71E5E12}" name="January" headerRowDxfId="263" dataDxfId="262" dataCellStyle="Percent"/>
    <tableColumn id="9" xr3:uid="{143E457B-CAD0-4DAA-8EFC-9249D88588D4}" name="February" headerRowDxfId="261" dataDxfId="260" dataCellStyle="Percent"/>
    <tableColumn id="10" xr3:uid="{3E8DBC52-EA6E-4C57-A15E-AD18E5DC5ADE}" name="March" headerRowDxfId="259" dataDxfId="258"/>
    <tableColumn id="11" xr3:uid="{A6C8C182-B05D-4958-88CC-D87D01913134}" name="April" headerRowDxfId="257" dataDxfId="256"/>
    <tableColumn id="12" xr3:uid="{B618B00C-64EF-44FD-B67D-3DDD30B3B2D1}" name="May" headerRowDxfId="255" dataDxfId="254"/>
    <tableColumn id="13" xr3:uid="{94D8C7E7-50FF-4EEE-B028-6BD4EC5247C1}" name="June" headerRowDxfId="253" dataDxfId="252"/>
    <tableColumn id="14" xr3:uid="{6435DED3-8E5D-474D-B49C-981B97F54B2A}" name="FY" headerRowDxfId="251" dataDxfId="250"/>
  </tableColumns>
  <tableStyleInfo name="TableStyleMedium2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15CA6ED8-0425-473E-9CCF-DDF6FAE86481}" name="CapExFFFY231824" displayName="CapExFFFY231824" ref="A12:N18" headerRowCount="0" totalsRowShown="0" headerRowDxfId="249" dataDxfId="248" tableBorderDxfId="247">
  <tableColumns count="14">
    <tableColumn id="1" xr3:uid="{1246BC28-C9AF-4A21-B018-DF5578FE4C9C}" name="Month" headerRowDxfId="246" dataDxfId="245"/>
    <tableColumn id="2" xr3:uid="{38013142-6986-43DF-AA62-53217DA80CC6}" name="July" headerRowDxfId="244" dataDxfId="243" dataCellStyle="Percent"/>
    <tableColumn id="3" xr3:uid="{3FDC9991-615C-4572-839C-4C14B8DCA537}" name="August" headerRowDxfId="242" dataDxfId="241" dataCellStyle="Percent"/>
    <tableColumn id="4" xr3:uid="{AAB01B69-01E7-44EF-BF08-D7F33CA8575D}" name="September" headerRowDxfId="240" dataDxfId="239" dataCellStyle="Percent"/>
    <tableColumn id="5" xr3:uid="{52860324-CD6B-4EC9-882F-D6EA4F50B168}" name="October" headerRowDxfId="238" dataDxfId="237" dataCellStyle="Percent"/>
    <tableColumn id="6" xr3:uid="{90FF435D-EBC2-40D2-BD32-8BC799C7B4A7}" name="November" headerRowDxfId="236" dataDxfId="235" dataCellStyle="Percent"/>
    <tableColumn id="7" xr3:uid="{E6D4F3D0-0C82-4349-806B-51779E9CA0B5}" name="December" headerRowDxfId="234" dataDxfId="233" dataCellStyle="Percent"/>
    <tableColumn id="8" xr3:uid="{7A13614F-3F63-407A-BD3A-4317F7236678}" name="January" headerRowDxfId="232" dataDxfId="231" dataCellStyle="Percent"/>
    <tableColumn id="9" xr3:uid="{6DFAD1F9-AE9C-4070-9622-068BD3AE9F6F}" name="February" headerRowDxfId="230" dataDxfId="229" dataCellStyle="Percent"/>
    <tableColumn id="10" xr3:uid="{40BB07C1-A6CA-4EE3-A791-0F68833C0BD6}" name="March" headerRowDxfId="228" dataDxfId="227"/>
    <tableColumn id="11" xr3:uid="{33E6B7D9-46CE-4097-AD41-EFB41E7EECB1}" name="April" headerRowDxfId="226" dataDxfId="225"/>
    <tableColumn id="12" xr3:uid="{13EE2FE8-3D99-4C04-AC03-1A2194ABEBC3}" name="May" headerRowDxfId="224" dataDxfId="223"/>
    <tableColumn id="13" xr3:uid="{519851BD-F3C3-40B2-8C2B-A768957D598F}" name="June" headerRowDxfId="222" dataDxfId="221"/>
    <tableColumn id="14" xr3:uid="{D0EDE5B6-BCDE-4A4D-B06E-D69AE6E9E459}" name="FY" headerRowDxfId="220" dataDxfId="219"/>
  </tableColumns>
  <tableStyleInfo name="TableStyleMedium2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659B5E17-E26E-4EED-944A-A8B3512254F8}" name="CapExNMEFY231925" displayName="CapExNMEFY231925" ref="P12:AC18" headerRowCount="0" headerRowDxfId="218" dataDxfId="217" totalsRowDxfId="215" tableBorderDxfId="216">
  <tableColumns count="14">
    <tableColumn id="1" xr3:uid="{67FC3044-5513-4C90-A6CD-33E19834FB3C}" name="Month" headerRowDxfId="214" dataDxfId="213" totalsRowDxfId="212"/>
    <tableColumn id="2" xr3:uid="{812774BE-3239-4252-8CAA-ECDC7D04563D}" name="July" totalsRowFunction="custom" headerRowDxfId="211" dataDxfId="210" dataCellStyle="Percent">
      <totalsRowFormula>Q16/$AC$17</totalsRowFormula>
    </tableColumn>
    <tableColumn id="3" xr3:uid="{B27F1CD7-FFD3-412E-A2B8-04841D947EDC}" name="August" totalsRowFunction="custom" headerRowDxfId="209" dataDxfId="208" dataCellStyle="Percent">
      <totalsRowFormula>R16/$AC$17</totalsRowFormula>
    </tableColumn>
    <tableColumn id="4" xr3:uid="{E374D797-F186-4CBD-92BF-29E1D761CB0A}" name="September" totalsRowFunction="custom" headerRowDxfId="207" dataDxfId="206" dataCellStyle="Percent">
      <totalsRowFormula>S16/$AC$17</totalsRowFormula>
    </tableColumn>
    <tableColumn id="5" xr3:uid="{E9B5A053-5706-4E29-90EC-3D69B23C276E}" name="October" totalsRowFunction="custom" headerRowDxfId="205" dataDxfId="204" dataCellStyle="Percent">
      <totalsRowFormula>T16/$AC$17</totalsRowFormula>
    </tableColumn>
    <tableColumn id="6" xr3:uid="{189B4BDB-2905-4470-AD26-06D03EF70886}" name="November" totalsRowFunction="custom" headerRowDxfId="203" dataDxfId="202" dataCellStyle="Percent">
      <totalsRowFormula>U16/$AC$17</totalsRowFormula>
    </tableColumn>
    <tableColumn id="7" xr3:uid="{2D947687-1EA5-45AA-9190-7DCE08E855B5}" name="December" totalsRowFunction="custom" headerRowDxfId="201" dataDxfId="200" dataCellStyle="Percent">
      <totalsRowFormula>V16/$AC$17</totalsRowFormula>
    </tableColumn>
    <tableColumn id="8" xr3:uid="{5F01D6AB-5D3E-42C0-98DF-A8E9E464E4AE}" name="January" totalsRowFunction="custom" headerRowDxfId="199" dataDxfId="198" dataCellStyle="Percent">
      <totalsRowFormula>W16/$AC$17</totalsRowFormula>
    </tableColumn>
    <tableColumn id="9" xr3:uid="{F118118A-169D-4DE4-8E73-68D37C6548A6}" name="February" totalsRowFunction="custom" headerRowDxfId="197" dataDxfId="196" dataCellStyle="Percent">
      <totalsRowFormula>X16/$AC$17</totalsRowFormula>
    </tableColumn>
    <tableColumn id="10" xr3:uid="{2A181994-506F-47B1-9EE2-2D9641E03AD2}" name="March" totalsRowFunction="custom" headerRowDxfId="195" dataDxfId="194">
      <totalsRowFormula>Y16/$AC$17</totalsRowFormula>
    </tableColumn>
    <tableColumn id="11" xr3:uid="{CC10AD23-5FF1-4030-820E-54D68796BE5A}" name="April" totalsRowFunction="custom" headerRowDxfId="193" dataDxfId="192">
      <totalsRowFormula>Z16/$AC$17</totalsRowFormula>
    </tableColumn>
    <tableColumn id="12" xr3:uid="{B0C8574E-F8F7-4FA8-A621-EFA0908C7808}" name="May" totalsRowFunction="custom" headerRowDxfId="191" dataDxfId="190">
      <totalsRowFormula>AA16/$AC$17</totalsRowFormula>
    </tableColumn>
    <tableColumn id="13" xr3:uid="{A7F18FA3-1490-4A6D-AD7B-B8C76F9298CA}" name="June" totalsRowFunction="custom" headerRowDxfId="189" dataDxfId="188">
      <totalsRowFormula>AB16/$AC$17</totalsRowFormula>
    </tableColumn>
    <tableColumn id="14" xr3:uid="{2514F233-987A-46CC-A0D4-1B47DDE9BD2E}" name="FY" headerRowDxfId="187" dataDxfId="186"/>
  </tableColumns>
  <tableStyleInfo name="TableStyleMedium2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CC655FBB-F88C-4148-8841-A0B544249B9A}" name="CapExFFFY2332126" displayName="CapExFFFY2332126" ref="A20:N26" headerRowCount="0" totalsRowShown="0" headerRowDxfId="185" dataDxfId="184" tableBorderDxfId="183">
  <tableColumns count="14">
    <tableColumn id="1" xr3:uid="{E6D33807-4E51-4439-A12D-448900EC411B}" name="Month" headerRowDxfId="182" dataDxfId="181"/>
    <tableColumn id="2" xr3:uid="{001F9011-A887-4C44-B14A-0A0819E2FBED}" name="July" headerRowDxfId="180" dataDxfId="179" dataCellStyle="Percent"/>
    <tableColumn id="3" xr3:uid="{45A45034-162D-4CE2-9E96-92A3115B302F}" name="August" headerRowDxfId="178" dataDxfId="177" dataCellStyle="Percent"/>
    <tableColumn id="4" xr3:uid="{726D89D6-6229-463B-A751-0EE7374B55FE}" name="September" headerRowDxfId="176" dataDxfId="175" dataCellStyle="Percent"/>
    <tableColumn id="5" xr3:uid="{4C700EFA-B1CB-4112-B903-2AB775AADC8E}" name="October" headerRowDxfId="174" dataDxfId="173" dataCellStyle="Percent"/>
    <tableColumn id="6" xr3:uid="{4E3F28DC-4B38-45BD-8321-8EA541910AF8}" name="November" headerRowDxfId="172" dataDxfId="171" dataCellStyle="Percent"/>
    <tableColumn id="7" xr3:uid="{E45FB5B7-C7EC-44AC-9538-6DC3D9B951AB}" name="December" headerRowDxfId="170" dataDxfId="169" dataCellStyle="Percent"/>
    <tableColumn id="8" xr3:uid="{A2274AE3-E758-4335-B25E-7A5A030A3A6D}" name="January" headerRowDxfId="168" dataDxfId="167" dataCellStyle="Percent"/>
    <tableColumn id="9" xr3:uid="{A4C182E0-3828-4C12-85B1-51ABAA6384AF}" name="February" headerRowDxfId="166" dataDxfId="165" dataCellStyle="Percent"/>
    <tableColumn id="10" xr3:uid="{D82FE0D4-246A-4C77-9856-A441C755248C}" name="March" headerRowDxfId="164" dataDxfId="163"/>
    <tableColumn id="11" xr3:uid="{E6CEEF90-F32A-4FA0-A74C-A1419A7215B5}" name="April" headerRowDxfId="162" dataDxfId="161"/>
    <tableColumn id="12" xr3:uid="{A015AFCF-3291-48E0-9078-A5799C252733}" name="May" headerRowDxfId="160" dataDxfId="159"/>
    <tableColumn id="13" xr3:uid="{7A35DBED-E584-4107-AB5E-99C6CCBA3393}" name="June" headerRowDxfId="158" dataDxfId="157"/>
    <tableColumn id="14" xr3:uid="{56E2250E-353F-4AF1-86E6-6AD6F9C8807A}" name="FY" headerRowDxfId="156" dataDxfId="155"/>
  </tableColumns>
  <tableStyleInfo name="TableStyleMedium2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748C957-1E21-41CF-9166-4FECEE9D7E8D}" name="CapExNMEFY2342227" displayName="CapExNMEFY2342227" ref="P20:AC26" headerRowCount="0" totalsRowShown="0" headerRowDxfId="154" dataDxfId="153" tableBorderDxfId="152">
  <tableColumns count="14">
    <tableColumn id="1" xr3:uid="{5D7FD8D4-E8BF-4BFE-929E-1CA795945C39}" name="Month" headerRowDxfId="151" dataDxfId="150"/>
    <tableColumn id="2" xr3:uid="{55F91B5D-4A77-4FA5-8BE1-4D62E0F851B8}" name="July" headerRowDxfId="149" dataDxfId="148" dataCellStyle="Percent"/>
    <tableColumn id="3" xr3:uid="{16788AD7-F5FD-436A-9EC7-6AAF0CFD8BA1}" name="August" headerRowDxfId="147" dataDxfId="146" dataCellStyle="Percent"/>
    <tableColumn id="4" xr3:uid="{C0686C26-9D27-45EC-8DCE-A29A2F582071}" name="September" headerRowDxfId="145" dataDxfId="144" dataCellStyle="Percent"/>
    <tableColumn id="5" xr3:uid="{65579ABB-557E-4283-8347-BA8C7E2619C7}" name="October" headerRowDxfId="143" dataDxfId="142" dataCellStyle="Percent"/>
    <tableColumn id="6" xr3:uid="{467FBCF6-7B48-46D3-AE30-65A260642E15}" name="November" headerRowDxfId="141" dataDxfId="140" dataCellStyle="Percent"/>
    <tableColumn id="7" xr3:uid="{4EACE065-6F97-4D1C-BAD9-43E2EA61D474}" name="December" headerRowDxfId="139" dataDxfId="138" dataCellStyle="Percent"/>
    <tableColumn id="8" xr3:uid="{D7DA1CCE-435C-43F6-873C-974CDF5F769F}" name="January" headerRowDxfId="137" dataDxfId="136" dataCellStyle="Percent"/>
    <tableColumn id="9" xr3:uid="{83C11C81-20DC-472E-9A5C-9F9A7E5F89FC}" name="February" headerRowDxfId="135" dataDxfId="134" dataCellStyle="Percent"/>
    <tableColumn id="10" xr3:uid="{05ACB7B4-457E-4A35-9FDB-BC50A641B947}" name="March" headerRowDxfId="133" dataDxfId="132"/>
    <tableColumn id="11" xr3:uid="{1B466D43-A288-44F6-867C-459ABF60C78A}" name="April" headerRowDxfId="131" dataDxfId="130"/>
    <tableColumn id="12" xr3:uid="{79D4ED64-990D-4637-97B8-B1534092379F}" name="May" headerRowDxfId="129" dataDxfId="128"/>
    <tableColumn id="13" xr3:uid="{E6E4FA57-A3D4-464B-9306-804DAAAEE9D7}" name="June" headerRowDxfId="127" dataDxfId="126"/>
    <tableColumn id="14" xr3:uid="{292ACEBF-7070-426A-B85F-9392489DF72D}" name="FY" headerRowDxfId="125" dataDxfId="124"/>
  </tableColumns>
  <tableStyleInfo name="TableStyleMedium2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9B5AC65D-FB2E-4ABE-B043-A8BF516AEEBB}" name="CapExFFFY23362428" displayName="CapExFFFY23362428" ref="A28:N34" headerRowCount="0" totalsRowShown="0" headerRowDxfId="123" dataDxfId="122" tableBorderDxfId="121">
  <tableColumns count="14">
    <tableColumn id="1" xr3:uid="{00F0E4B4-B6BC-4293-A3A8-F39014FF287B}" name="Month" headerRowDxfId="120" dataDxfId="119"/>
    <tableColumn id="2" xr3:uid="{6CF7CB92-2829-4025-81BF-94FE2C6E737A}" name="July" headerRowDxfId="118" dataDxfId="117" dataCellStyle="Percent"/>
    <tableColumn id="3" xr3:uid="{82A3331A-F8FC-42B6-BF43-27B7B75A99CB}" name="August" headerRowDxfId="116" dataDxfId="115" dataCellStyle="Percent"/>
    <tableColumn id="4" xr3:uid="{D3F05DCA-44B7-4C35-B942-3F55774A142E}" name="September" headerRowDxfId="114" dataDxfId="113" dataCellStyle="Percent"/>
    <tableColumn id="5" xr3:uid="{8EE01577-16C8-4789-AD72-3855EC21AD2C}" name="October" headerRowDxfId="112" dataDxfId="111" dataCellStyle="Percent"/>
    <tableColumn id="6" xr3:uid="{35041FAD-A43B-461E-9C69-E85493B50EDF}" name="November" headerRowDxfId="110" dataDxfId="109" dataCellStyle="Percent"/>
    <tableColumn id="7" xr3:uid="{2C500992-DDC8-4E9E-A270-33E529293E31}" name="December" headerRowDxfId="108" dataDxfId="107" dataCellStyle="Percent"/>
    <tableColumn id="8" xr3:uid="{1FD94447-A3E9-4127-A0C7-AE2B42C51170}" name="January" headerRowDxfId="106" dataDxfId="105" dataCellStyle="Percent"/>
    <tableColumn id="9" xr3:uid="{778C8B77-2F7C-4DEC-91B8-37E2C3342FF1}" name="February" headerRowDxfId="104" dataDxfId="103" dataCellStyle="Percent"/>
    <tableColumn id="10" xr3:uid="{2F90C0FC-B0F4-459B-9653-B2071F9FDD8B}" name="March" headerRowDxfId="102" dataDxfId="101"/>
    <tableColumn id="11" xr3:uid="{0FEC3B4D-37EB-4684-91CC-F4DF0A04283B}" name="April" headerRowDxfId="100" dataDxfId="99"/>
    <tableColumn id="12" xr3:uid="{BD5678EB-777C-4D5A-9731-C5C5A97C35AC}" name="May" headerRowDxfId="98" dataDxfId="97"/>
    <tableColumn id="13" xr3:uid="{FB2EC212-7CCE-4975-94FE-BC3D738FF73A}" name="June" headerRowDxfId="96" dataDxfId="95"/>
    <tableColumn id="14" xr3:uid="{F6C958F1-98C0-4518-9BE6-D87615C08283}" name="FY" headerRowDxfId="94" dataDxfId="93"/>
  </tableColumns>
  <tableStyleInfo name="TableStyleMedium2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613553A8-2867-4244-A6DF-7AEDCC973983}" name="CapExNMEFY23472529" displayName="CapExNMEFY23472529" ref="P28:AC34" headerRowCount="0" totalsRowShown="0" headerRowDxfId="92" dataDxfId="91" tableBorderDxfId="90">
  <tableColumns count="14">
    <tableColumn id="1" xr3:uid="{2DD3123F-E2A2-4CA4-A45D-F0F7A2BAAD27}" name="Month" headerRowDxfId="89" dataDxfId="88"/>
    <tableColumn id="2" xr3:uid="{73D73322-822E-48EB-8E52-127272FE39C4}" name="July" headerRowDxfId="87" dataDxfId="86"/>
    <tableColumn id="3" xr3:uid="{1A552CE8-EAE0-4F71-8B8B-1E28F362DCF5}" name="August" headerRowDxfId="85" dataDxfId="84"/>
    <tableColumn id="4" xr3:uid="{48D0BAE8-741E-4AA5-906F-AEA26899E798}" name="September" headerRowDxfId="83" dataDxfId="82"/>
    <tableColumn id="5" xr3:uid="{637532FB-DDDA-40DB-AB0A-3D676E937537}" name="October" headerRowDxfId="81" dataDxfId="80"/>
    <tableColumn id="6" xr3:uid="{10944B16-BA9B-4857-A639-6887DED04F1D}" name="November" headerRowDxfId="79" dataDxfId="78"/>
    <tableColumn id="7" xr3:uid="{8124C507-D824-4118-976C-3C3BB3F6632D}" name="December" headerRowDxfId="77" dataDxfId="76"/>
    <tableColumn id="8" xr3:uid="{05A5DF76-0C1C-4206-BB6A-E9E78B94638C}" name="January" headerRowDxfId="75" dataDxfId="74"/>
    <tableColumn id="9" xr3:uid="{A27629C5-E82D-455A-BF1F-7AB85B164459}" name="February" headerRowDxfId="73" dataDxfId="72"/>
    <tableColumn id="10" xr3:uid="{16FD65E7-A0B7-4547-BFEF-EE279B131A18}" name="March" headerRowDxfId="71" dataDxfId="70"/>
    <tableColumn id="11" xr3:uid="{E6855D96-586D-4A00-8C76-5BD9C3411AA3}" name="April" headerRowDxfId="69" dataDxfId="68"/>
    <tableColumn id="12" xr3:uid="{EB078F2D-24E6-4841-885F-8B49FD58B42D}" name="May" headerRowDxfId="67" dataDxfId="66"/>
    <tableColumn id="13" xr3:uid="{FC463642-83A8-4A2C-B712-D6B5340660D8}" name="June" headerRowDxfId="65" dataDxfId="64"/>
    <tableColumn id="14" xr3:uid="{278E12B2-956B-41A6-9706-2C27091F9C05}" name="FY" headerRowDxfId="63" dataDxfId="62"/>
  </tableColumns>
  <tableStyleInfo name="TableStyleMedium2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3D9A52AE-31F4-482F-AF56-36A26DE3AB93}" name="CapExNMEFY234725151630" displayName="CapExNMEFY234725151630" ref="P36:AC42" headerRowCount="0" totalsRowShown="0" headerRowDxfId="61" dataDxfId="60" tableBorderDxfId="59">
  <tableColumns count="14">
    <tableColumn id="1" xr3:uid="{8DD73F6E-75BE-4B60-AD63-C419AD09B4EF}" name="Month" headerRowDxfId="58" dataDxfId="57"/>
    <tableColumn id="2" xr3:uid="{86315765-8916-4133-B64A-3C9EAE048F7D}" name="July" headerRowDxfId="56" dataDxfId="55"/>
    <tableColumn id="3" xr3:uid="{37DCC47F-A459-44D1-ACBA-176AD37F43DF}" name="August" headerRowDxfId="54" dataDxfId="53"/>
    <tableColumn id="4" xr3:uid="{4D7120BF-05F1-49B3-96E0-F9E131E951AB}" name="September" headerRowDxfId="52" dataDxfId="51"/>
    <tableColumn id="5" xr3:uid="{AB439F55-6BA3-484F-AF27-44E8BC119317}" name="October" headerRowDxfId="50" dataDxfId="49"/>
    <tableColumn id="6" xr3:uid="{AC7F5939-51D3-4B3A-B7F5-DDA1FFB2699B}" name="November" headerRowDxfId="48" dataDxfId="47"/>
    <tableColumn id="7" xr3:uid="{B06FD408-B59A-46AC-AAF6-B1C83C6913D9}" name="December" headerRowDxfId="46" dataDxfId="45"/>
    <tableColumn id="8" xr3:uid="{86DAA5D1-4D4B-4FCB-9AE3-9E6C785A583B}" name="January" headerRowDxfId="44" dataDxfId="43"/>
    <tableColumn id="9" xr3:uid="{58ECD2F5-D63D-4F33-8B51-C4E3C2700B51}" name="February" headerRowDxfId="42" dataDxfId="41"/>
    <tableColumn id="10" xr3:uid="{4F6C87C8-9B7B-45FF-98E5-4AAEE61931D2}" name="March" headerRowDxfId="40" dataDxfId="39"/>
    <tableColumn id="11" xr3:uid="{E11AE293-7CA6-40F7-8D32-9DA8B9232C24}" name="April" headerRowDxfId="38" dataDxfId="37"/>
    <tableColumn id="12" xr3:uid="{065A6145-80A7-4B57-81BE-17EDF2523047}" name="May" headerRowDxfId="36" dataDxfId="35"/>
    <tableColumn id="13" xr3:uid="{D0D7E5AF-F1BE-4320-A1DA-16F931AE82AE}" name="June" headerRowDxfId="34" dataDxfId="33"/>
    <tableColumn id="14" xr3:uid="{DE35B35A-9F6A-4306-AD5E-DE6D668B211A}" name="FY" headerRowDxfId="32" dataDxfId="31"/>
  </tableColumns>
  <tableStyleInfo name="TableStyleMedium2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568814FF-D290-4DFC-94E2-14AD03671757}" name="CapExFFFY2336241731" displayName="CapExFFFY2336241731" ref="A36:N42" headerRowCount="0" totalsRowShown="0" headerRowDxfId="30" dataDxfId="29" tableBorderDxfId="28">
  <tableColumns count="14">
    <tableColumn id="1" xr3:uid="{8CE58F65-659F-4121-A63F-8A88CB5D8BDA}" name="Month" headerRowDxfId="27" dataDxfId="26"/>
    <tableColumn id="2" xr3:uid="{5C05C079-E2D8-4A2B-9D4F-17956F9073B5}" name="July" headerRowDxfId="25" dataDxfId="24" dataCellStyle="Percent"/>
    <tableColumn id="3" xr3:uid="{62E39DC8-0AAD-4E89-86F9-F7732C00EB9C}" name="August" headerRowDxfId="23" dataDxfId="22" dataCellStyle="Percent"/>
    <tableColumn id="4" xr3:uid="{6D896B0E-AA27-4527-A182-C8B64714D96C}" name="September" headerRowDxfId="21" dataDxfId="20" dataCellStyle="Percent"/>
    <tableColumn id="5" xr3:uid="{2BC775F3-00B6-4B90-BFE9-710ECDE22C71}" name="October" headerRowDxfId="19" dataDxfId="18" dataCellStyle="Percent"/>
    <tableColumn id="6" xr3:uid="{CFC2FE51-C048-44B8-819F-0D25DC008A3A}" name="November" headerRowDxfId="17" dataDxfId="16" dataCellStyle="Percent"/>
    <tableColumn id="7" xr3:uid="{C1F97A83-A0C9-4859-8C07-8BC7DD84D286}" name="December" headerRowDxfId="15" dataDxfId="14" dataCellStyle="Percent"/>
    <tableColumn id="8" xr3:uid="{743732B0-6580-4B81-A287-FDF02408FD26}" name="January" headerRowDxfId="13" dataDxfId="12" dataCellStyle="Percent"/>
    <tableColumn id="9" xr3:uid="{CDCDA5FC-77EF-4712-AC49-0D88D28C7312}" name="February" headerRowDxfId="11" dataDxfId="10" dataCellStyle="Percent"/>
    <tableColumn id="10" xr3:uid="{F2380BE2-0907-414B-A81E-AED01BF8B213}" name="March" headerRowDxfId="9" dataDxfId="8"/>
    <tableColumn id="11" xr3:uid="{FBAFFB74-E0DA-43AE-BC4B-CC2FCF94BF64}" name="April" headerRowDxfId="7" dataDxfId="6"/>
    <tableColumn id="12" xr3:uid="{B03AF06D-46EE-44F7-9BDA-5FED13830289}" name="May" headerRowDxfId="5" dataDxfId="4"/>
    <tableColumn id="13" xr3:uid="{632AB411-83EB-41BB-AB14-D306A5C65CE1}" name="June" headerRowDxfId="3" dataDxfId="2"/>
    <tableColumn id="14" xr3:uid="{8EE150C4-0C09-4929-83CB-869C508E358D}" name="FY" headerRowDxfId="1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.xml"/><Relationship Id="rId3" Type="http://schemas.openxmlformats.org/officeDocument/2006/relationships/table" Target="../tables/table7.xml"/><Relationship Id="rId7" Type="http://schemas.openxmlformats.org/officeDocument/2006/relationships/table" Target="../tables/table11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11" Type="http://schemas.openxmlformats.org/officeDocument/2006/relationships/table" Target="../tables/table15.xml"/><Relationship Id="rId5" Type="http://schemas.openxmlformats.org/officeDocument/2006/relationships/table" Target="../tables/table9.xml"/><Relationship Id="rId10" Type="http://schemas.openxmlformats.org/officeDocument/2006/relationships/table" Target="../tables/table14.xml"/><Relationship Id="rId4" Type="http://schemas.openxmlformats.org/officeDocument/2006/relationships/table" Target="../tables/table8.xml"/><Relationship Id="rId9" Type="http://schemas.openxmlformats.org/officeDocument/2006/relationships/table" Target="../tables/table1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C17E-6B75-43A4-A330-814AC6C18780}">
  <dimension ref="A1:AC41"/>
  <sheetViews>
    <sheetView tabSelected="1" workbookViewId="0">
      <selection sqref="A1:E1"/>
    </sheetView>
  </sheetViews>
  <sheetFormatPr defaultColWidth="9.140625" defaultRowHeight="15"/>
  <cols>
    <col min="1" max="1" width="19.5703125" style="26" customWidth="1"/>
    <col min="2" max="2" width="15.5703125" style="26" customWidth="1"/>
    <col min="3" max="14" width="15.85546875" style="26" customWidth="1"/>
    <col min="15" max="15" width="3.42578125" style="26" customWidth="1"/>
    <col min="16" max="16" width="18.42578125" style="26" bestFit="1" customWidth="1"/>
    <col min="17" max="17" width="21" style="26" customWidth="1"/>
    <col min="18" max="18" width="20.5703125" style="26" customWidth="1"/>
    <col min="19" max="19" width="14.5703125" style="26" bestFit="1" customWidth="1"/>
    <col min="20" max="20" width="16.42578125" style="26" customWidth="1"/>
    <col min="21" max="28" width="14.5703125" style="26" bestFit="1" customWidth="1"/>
    <col min="29" max="29" width="15.85546875" style="26" bestFit="1" customWidth="1"/>
    <col min="30" max="16384" width="9.140625" style="26"/>
  </cols>
  <sheetData>
    <row r="1" spans="1:29" s="21" customFormat="1" ht="21">
      <c r="A1" s="76" t="s">
        <v>44</v>
      </c>
      <c r="B1" s="76"/>
      <c r="C1" s="76"/>
      <c r="D1" s="76"/>
      <c r="E1" s="76"/>
    </row>
    <row r="2" spans="1:29">
      <c r="A2" s="5" t="s">
        <v>1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29">
      <c r="A3" s="5"/>
      <c r="B3"/>
      <c r="C3"/>
      <c r="D3"/>
      <c r="E3"/>
      <c r="F3"/>
      <c r="G3"/>
      <c r="H3"/>
      <c r="I3"/>
      <c r="J3"/>
      <c r="K3"/>
      <c r="L3"/>
      <c r="M3"/>
      <c r="N3"/>
    </row>
    <row r="4" spans="1:29">
      <c r="A4" s="22" t="s">
        <v>7</v>
      </c>
      <c r="B4" s="23">
        <v>44378</v>
      </c>
      <c r="C4" s="23">
        <v>44409</v>
      </c>
      <c r="D4" s="23">
        <v>44440</v>
      </c>
      <c r="E4" s="23">
        <v>44470</v>
      </c>
      <c r="F4" s="23">
        <v>44501</v>
      </c>
      <c r="G4" s="23">
        <v>44531</v>
      </c>
      <c r="H4" s="23">
        <v>44562</v>
      </c>
      <c r="I4" s="23">
        <v>44593</v>
      </c>
      <c r="J4" s="23">
        <v>44621</v>
      </c>
      <c r="K4" s="23">
        <v>44652</v>
      </c>
      <c r="L4" s="23">
        <v>44682</v>
      </c>
      <c r="M4" s="23">
        <v>44713</v>
      </c>
      <c r="N4" s="24" t="s">
        <v>8</v>
      </c>
      <c r="P4" s="22" t="s">
        <v>9</v>
      </c>
      <c r="Q4" s="23">
        <v>44743</v>
      </c>
      <c r="R4" s="23">
        <v>44774</v>
      </c>
      <c r="S4" s="23">
        <v>44805</v>
      </c>
      <c r="T4" s="23">
        <v>44835</v>
      </c>
      <c r="U4" s="23">
        <v>44866</v>
      </c>
      <c r="V4" s="23">
        <v>44896</v>
      </c>
      <c r="W4" s="23">
        <v>44927</v>
      </c>
      <c r="X4" s="23">
        <v>44958</v>
      </c>
      <c r="Y4" s="23">
        <v>44986</v>
      </c>
      <c r="Z4" s="23">
        <v>45017</v>
      </c>
      <c r="AA4" s="23">
        <v>45047</v>
      </c>
      <c r="AB4" s="23">
        <v>45078</v>
      </c>
      <c r="AC4" s="24" t="s">
        <v>8</v>
      </c>
    </row>
    <row r="5" spans="1:29">
      <c r="A5" s="25" t="s">
        <v>2</v>
      </c>
      <c r="B5" s="59">
        <v>41.24773247666667</v>
      </c>
      <c r="C5" s="59">
        <v>44.56236725666664</v>
      </c>
      <c r="D5" s="59">
        <v>70.579051436666674</v>
      </c>
      <c r="E5" s="59">
        <v>53.629466719999996</v>
      </c>
      <c r="F5" s="59">
        <v>58.856749270000009</v>
      </c>
      <c r="G5" s="59">
        <v>45.865739700000006</v>
      </c>
      <c r="H5" s="59">
        <v>53.144440500000002</v>
      </c>
      <c r="I5" s="59">
        <v>36.850069070000004</v>
      </c>
      <c r="J5" s="59">
        <v>24.747866250000008</v>
      </c>
      <c r="K5" s="59">
        <v>50.613693229999996</v>
      </c>
      <c r="L5" s="59">
        <v>40.839421419999979</v>
      </c>
      <c r="M5" s="59">
        <v>28.842442710000011</v>
      </c>
      <c r="N5" s="6">
        <f>SUM(B5:M5)</f>
        <v>549.77904004000004</v>
      </c>
      <c r="P5" s="25" t="s">
        <v>2</v>
      </c>
      <c r="Q5" s="32">
        <v>42.737497650000002</v>
      </c>
      <c r="R5" s="32">
        <v>46.308684720000002</v>
      </c>
      <c r="S5" s="32">
        <v>36.294777229999994</v>
      </c>
      <c r="T5" s="32">
        <v>45.458492390000004</v>
      </c>
      <c r="U5" s="32">
        <v>53.826576899999992</v>
      </c>
      <c r="V5" s="32">
        <v>38.478834290000002</v>
      </c>
      <c r="W5" s="32">
        <v>56.059664740000002</v>
      </c>
      <c r="X5" s="32">
        <v>49.34274193000001</v>
      </c>
      <c r="Y5" s="32">
        <v>47.063239409999994</v>
      </c>
      <c r="Z5" s="32">
        <v>26.864229459999997</v>
      </c>
      <c r="AA5" s="32">
        <v>32.275289650000012</v>
      </c>
      <c r="AB5" s="32">
        <v>65.496465180000001</v>
      </c>
      <c r="AC5" s="6">
        <f>SUM(Q5:AB5)</f>
        <v>540.20649355</v>
      </c>
    </row>
    <row r="6" spans="1:29">
      <c r="A6" s="25" t="s">
        <v>3</v>
      </c>
      <c r="B6" s="60">
        <v>44.653010154113666</v>
      </c>
      <c r="C6" s="60">
        <v>45.178421299725564</v>
      </c>
      <c r="D6" s="60">
        <v>45.70383259303788</v>
      </c>
      <c r="E6" s="60">
        <v>46.182682866045774</v>
      </c>
      <c r="F6" s="60">
        <v>46.708188186091228</v>
      </c>
      <c r="G6" s="60">
        <v>48.465948635550617</v>
      </c>
      <c r="H6" s="60">
        <v>47.891889812234233</v>
      </c>
      <c r="I6" s="60">
        <v>48.183825498490805</v>
      </c>
      <c r="J6" s="60">
        <v>50.236614250263827</v>
      </c>
      <c r="K6" s="60">
        <v>48.839686271682325</v>
      </c>
      <c r="L6" s="60">
        <v>49.131621932450621</v>
      </c>
      <c r="M6" s="60">
        <v>49.423557933516705</v>
      </c>
      <c r="N6" s="7">
        <f>SUM(B6:M6)</f>
        <v>570.59927943320315</v>
      </c>
      <c r="P6" s="25" t="s">
        <v>3</v>
      </c>
      <c r="Q6" s="32">
        <v>45.97010117</v>
      </c>
      <c r="R6" s="32">
        <v>46.158419139999999</v>
      </c>
      <c r="S6" s="32">
        <v>45.555466150000001</v>
      </c>
      <c r="T6" s="32">
        <v>44.403981119999997</v>
      </c>
      <c r="U6" s="32">
        <v>44.403228890000001</v>
      </c>
      <c r="V6" s="32">
        <v>45.068598754951601</v>
      </c>
      <c r="W6" s="32">
        <v>44.259493770000006</v>
      </c>
      <c r="X6" s="32">
        <v>44.258985439999996</v>
      </c>
      <c r="Y6" s="32">
        <v>46.188543754552498</v>
      </c>
      <c r="Z6" s="32">
        <v>44.265827109999996</v>
      </c>
      <c r="AA6" s="32">
        <v>44.240945450000005</v>
      </c>
      <c r="AB6" s="32">
        <v>47.352726356052599</v>
      </c>
      <c r="AC6" s="7">
        <f>SUM(Q6:AB6)</f>
        <v>542.12631710555672</v>
      </c>
    </row>
    <row r="7" spans="1:29">
      <c r="A7" s="25" t="s">
        <v>10</v>
      </c>
      <c r="B7" s="61">
        <f t="shared" ref="B7:M7" si="0">B6*0.02</f>
        <v>0.8930602030822733</v>
      </c>
      <c r="C7" s="61">
        <f t="shared" si="0"/>
        <v>0.90356842599451126</v>
      </c>
      <c r="D7" s="61">
        <f t="shared" si="0"/>
        <v>0.91407665186075759</v>
      </c>
      <c r="E7" s="61">
        <f t="shared" si="0"/>
        <v>0.92365365732091553</v>
      </c>
      <c r="F7" s="61">
        <f t="shared" si="0"/>
        <v>0.93416376372182452</v>
      </c>
      <c r="G7" s="61">
        <f t="shared" si="0"/>
        <v>0.96931897271101242</v>
      </c>
      <c r="H7" s="61">
        <f t="shared" si="0"/>
        <v>0.95783779624468468</v>
      </c>
      <c r="I7" s="61">
        <f t="shared" si="0"/>
        <v>0.96367650996981613</v>
      </c>
      <c r="J7" s="61">
        <f t="shared" si="0"/>
        <v>1.0047322850052764</v>
      </c>
      <c r="K7" s="61">
        <f t="shared" si="0"/>
        <v>0.97679372543364651</v>
      </c>
      <c r="L7" s="61">
        <f t="shared" si="0"/>
        <v>0.9826324386490124</v>
      </c>
      <c r="M7" s="61">
        <f t="shared" si="0"/>
        <v>0.98847115867033408</v>
      </c>
      <c r="N7" s="7">
        <f>SUM(B7:M7)</f>
        <v>11.411985588664065</v>
      </c>
      <c r="P7" s="25" t="s">
        <v>10</v>
      </c>
      <c r="Q7" s="8">
        <f t="shared" ref="Q7:AB7" si="1">Q6*0.02</f>
        <v>0.91940202339999999</v>
      </c>
      <c r="R7" s="8">
        <f t="shared" si="1"/>
        <v>0.92316838280000002</v>
      </c>
      <c r="S7" s="8">
        <f t="shared" si="1"/>
        <v>0.91110932300000003</v>
      </c>
      <c r="T7" s="8">
        <f t="shared" si="1"/>
        <v>0.88807962239999994</v>
      </c>
      <c r="U7" s="8">
        <f t="shared" si="1"/>
        <v>0.88806457780000003</v>
      </c>
      <c r="V7" s="8">
        <f t="shared" si="1"/>
        <v>0.901371975099032</v>
      </c>
      <c r="W7" s="8">
        <f t="shared" si="1"/>
        <v>0.88518987540000016</v>
      </c>
      <c r="X7" s="8">
        <f t="shared" si="1"/>
        <v>0.88517970879999996</v>
      </c>
      <c r="Y7" s="8">
        <f t="shared" si="1"/>
        <v>0.92377087509104994</v>
      </c>
      <c r="Z7" s="8">
        <f t="shared" si="1"/>
        <v>0.8853165422</v>
      </c>
      <c r="AA7" s="8">
        <f t="shared" si="1"/>
        <v>0.88481890900000015</v>
      </c>
      <c r="AB7" s="8">
        <f t="shared" si="1"/>
        <v>0.94705452712105198</v>
      </c>
      <c r="AC7" s="7">
        <f>SUM(Q7:AB7)</f>
        <v>10.842526342111134</v>
      </c>
    </row>
    <row r="8" spans="1:29">
      <c r="A8" s="25" t="s">
        <v>11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>
        <v>1.3919999999999999</v>
      </c>
      <c r="N8" s="7">
        <f>SUM(OpExFY2215[[#This Row],[July]:[June]])</f>
        <v>1.3919999999999999</v>
      </c>
      <c r="P8" s="27" t="s">
        <v>4</v>
      </c>
      <c r="Q8" s="9">
        <f>Q5</f>
        <v>42.737497650000002</v>
      </c>
      <c r="R8" s="9">
        <f t="shared" ref="R8:AB8" si="2">Q8+R5</f>
        <v>89.046182369999997</v>
      </c>
      <c r="S8" s="9">
        <f t="shared" si="2"/>
        <v>125.34095959999999</v>
      </c>
      <c r="T8" s="9">
        <f t="shared" si="2"/>
        <v>170.79945198999999</v>
      </c>
      <c r="U8" s="9">
        <f t="shared" si="2"/>
        <v>224.62602888999999</v>
      </c>
      <c r="V8" s="9">
        <f t="shared" si="2"/>
        <v>263.10486318</v>
      </c>
      <c r="W8" s="9">
        <f t="shared" si="2"/>
        <v>319.16452792000001</v>
      </c>
      <c r="X8" s="9">
        <f t="shared" si="2"/>
        <v>368.50726985</v>
      </c>
      <c r="Y8" s="9">
        <f t="shared" si="2"/>
        <v>415.57050925999999</v>
      </c>
      <c r="Z8" s="9">
        <f t="shared" si="2"/>
        <v>442.43473871999998</v>
      </c>
      <c r="AA8" s="9">
        <f t="shared" si="2"/>
        <v>474.71002836999997</v>
      </c>
      <c r="AB8" s="9">
        <f t="shared" si="2"/>
        <v>540.20649355</v>
      </c>
      <c r="AC8" s="10">
        <f>OpExFY2318[[#This Row],[June]]</f>
        <v>540.20649355</v>
      </c>
    </row>
    <row r="9" spans="1:29">
      <c r="A9" s="27" t="s">
        <v>4</v>
      </c>
      <c r="B9" s="9">
        <f>B5</f>
        <v>41.24773247666667</v>
      </c>
      <c r="C9" s="9">
        <f t="shared" ref="C9:M9" si="3">B9+C5</f>
        <v>85.810099733333317</v>
      </c>
      <c r="D9" s="9">
        <f t="shared" si="3"/>
        <v>156.38915116999999</v>
      </c>
      <c r="E9" s="9">
        <f t="shared" si="3"/>
        <v>210.01861788999997</v>
      </c>
      <c r="F9" s="9">
        <f t="shared" si="3"/>
        <v>268.87536716</v>
      </c>
      <c r="G9" s="9">
        <f t="shared" si="3"/>
        <v>314.74110686</v>
      </c>
      <c r="H9" s="9">
        <f t="shared" si="3"/>
        <v>367.88554736000003</v>
      </c>
      <c r="I9" s="9">
        <f t="shared" si="3"/>
        <v>404.73561643000005</v>
      </c>
      <c r="J9" s="9">
        <f t="shared" si="3"/>
        <v>429.48348268000007</v>
      </c>
      <c r="K9" s="9">
        <f t="shared" si="3"/>
        <v>480.09717591000003</v>
      </c>
      <c r="L9" s="9">
        <f t="shared" si="3"/>
        <v>520.93659733000004</v>
      </c>
      <c r="M9" s="9">
        <f t="shared" si="3"/>
        <v>549.77904004000004</v>
      </c>
      <c r="N9" s="10">
        <f>M9</f>
        <v>549.77904004000004</v>
      </c>
      <c r="P9" s="25" t="s">
        <v>5</v>
      </c>
      <c r="Q9" s="11">
        <f>SUM(Q6:Q7)</f>
        <v>46.889503193400003</v>
      </c>
      <c r="R9" s="11">
        <f t="shared" ref="R9:AB9" si="4">Q9+(SUM(R6:R7))</f>
        <v>93.971090716199996</v>
      </c>
      <c r="S9" s="11">
        <f t="shared" si="4"/>
        <v>140.4376661892</v>
      </c>
      <c r="T9" s="11">
        <f t="shared" si="4"/>
        <v>185.7297269316</v>
      </c>
      <c r="U9" s="11">
        <f t="shared" si="4"/>
        <v>231.02102039940002</v>
      </c>
      <c r="V9" s="11">
        <f t="shared" si="4"/>
        <v>276.99099112945066</v>
      </c>
      <c r="W9" s="11">
        <f t="shared" si="4"/>
        <v>322.13567477485066</v>
      </c>
      <c r="X9" s="11">
        <f t="shared" si="4"/>
        <v>367.27983992365068</v>
      </c>
      <c r="Y9" s="11">
        <f t="shared" si="4"/>
        <v>414.39215455329423</v>
      </c>
      <c r="Z9" s="11">
        <f t="shared" si="4"/>
        <v>459.54329820549424</v>
      </c>
      <c r="AA9" s="11">
        <f t="shared" si="4"/>
        <v>504.66906256449425</v>
      </c>
      <c r="AB9" s="11">
        <f t="shared" si="4"/>
        <v>552.96884344766795</v>
      </c>
      <c r="AC9" s="12">
        <f>SUM(AC6:AC7)</f>
        <v>552.96884344766784</v>
      </c>
    </row>
    <row r="10" spans="1:29">
      <c r="A10" s="25" t="s">
        <v>5</v>
      </c>
      <c r="B10" s="11">
        <f>B7+B8+B6</f>
        <v>45.546070357195937</v>
      </c>
      <c r="C10" s="11">
        <f t="shared" ref="C10:M10" si="5">B10+(SUM(C6:C8))</f>
        <v>91.628060082916022</v>
      </c>
      <c r="D10" s="11">
        <f t="shared" si="5"/>
        <v>138.24596932781466</v>
      </c>
      <c r="E10" s="11">
        <f t="shared" si="5"/>
        <v>185.35230585118134</v>
      </c>
      <c r="F10" s="11">
        <f t="shared" si="5"/>
        <v>232.99465780099439</v>
      </c>
      <c r="G10" s="11">
        <f t="shared" si="5"/>
        <v>282.42992540925604</v>
      </c>
      <c r="H10" s="11">
        <f t="shared" si="5"/>
        <v>331.27965301773497</v>
      </c>
      <c r="I10" s="11">
        <f t="shared" si="5"/>
        <v>380.42715502619558</v>
      </c>
      <c r="J10" s="11">
        <f t="shared" si="5"/>
        <v>431.66850156146467</v>
      </c>
      <c r="K10" s="11">
        <f t="shared" si="5"/>
        <v>481.48498155858061</v>
      </c>
      <c r="L10" s="11">
        <f t="shared" si="5"/>
        <v>531.59923592968028</v>
      </c>
      <c r="M10" s="11">
        <f t="shared" si="5"/>
        <v>583.40326502186736</v>
      </c>
      <c r="N10" s="12">
        <f>SUM(N6:N8)</f>
        <v>583.40326502186724</v>
      </c>
      <c r="P10" s="25" t="s">
        <v>6</v>
      </c>
      <c r="Q10" s="13">
        <f t="shared" ref="Q10:AB10" si="6">Q8/$AC$9</f>
        <v>7.7287352002580981E-2</v>
      </c>
      <c r="R10" s="13">
        <f t="shared" si="6"/>
        <v>0.16103291066963557</v>
      </c>
      <c r="S10" s="13">
        <f t="shared" si="6"/>
        <v>0.22666911723004168</v>
      </c>
      <c r="T10" s="13">
        <f t="shared" si="6"/>
        <v>0.30887717095432377</v>
      </c>
      <c r="U10" s="13">
        <f t="shared" si="6"/>
        <v>0.4062182373413562</v>
      </c>
      <c r="V10" s="13">
        <f t="shared" si="6"/>
        <v>0.47580413670250454</v>
      </c>
      <c r="W10" s="13">
        <f t="shared" si="6"/>
        <v>0.57718356414090677</v>
      </c>
      <c r="X10" s="13">
        <f t="shared" si="6"/>
        <v>0.66641597300929123</v>
      </c>
      <c r="Y10" s="13">
        <f t="shared" si="6"/>
        <v>0.75152608358363859</v>
      </c>
      <c r="Z10" s="13">
        <f t="shared" si="6"/>
        <v>0.80010789751099487</v>
      </c>
      <c r="AA10" s="13">
        <f t="shared" si="6"/>
        <v>0.8584751817304257</v>
      </c>
      <c r="AB10" s="13">
        <f t="shared" si="6"/>
        <v>0.97692030925631046</v>
      </c>
      <c r="AC10" s="1"/>
    </row>
    <row r="11" spans="1:29">
      <c r="A11" s="25" t="s">
        <v>6</v>
      </c>
      <c r="B11" s="13">
        <f t="shared" ref="B11:M11" si="7">B9/$N$10</f>
        <v>7.0701922580293772E-2</v>
      </c>
      <c r="C11" s="13">
        <f t="shared" si="7"/>
        <v>0.1470853950913644</v>
      </c>
      <c r="D11" s="13">
        <f t="shared" si="7"/>
        <v>0.2680635514855032</v>
      </c>
      <c r="E11" s="13">
        <f t="shared" si="7"/>
        <v>0.3599887598882876</v>
      </c>
      <c r="F11" s="13">
        <f t="shared" si="7"/>
        <v>0.46087394994253583</v>
      </c>
      <c r="G11" s="13">
        <f t="shared" si="7"/>
        <v>0.53949150738503804</v>
      </c>
      <c r="H11" s="13">
        <f t="shared" si="7"/>
        <v>0.63058534193532645</v>
      </c>
      <c r="I11" s="13">
        <f t="shared" si="7"/>
        <v>0.6937493166323464</v>
      </c>
      <c r="J11" s="13">
        <f t="shared" si="7"/>
        <v>0.73616914479198547</v>
      </c>
      <c r="K11" s="13">
        <f t="shared" si="7"/>
        <v>0.82292507549131544</v>
      </c>
      <c r="L11" s="13">
        <f t="shared" si="7"/>
        <v>0.89292712016357023</v>
      </c>
      <c r="M11" s="13">
        <f t="shared" si="7"/>
        <v>0.94236538086462907</v>
      </c>
      <c r="N11" s="1"/>
    </row>
    <row r="12" spans="1:2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 t="s">
        <v>47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29">
      <c r="A13" s="22" t="s">
        <v>12</v>
      </c>
      <c r="B13" s="23">
        <v>45108</v>
      </c>
      <c r="C13" s="23">
        <v>45139</v>
      </c>
      <c r="D13" s="23">
        <v>45170</v>
      </c>
      <c r="E13" s="23">
        <v>45200</v>
      </c>
      <c r="F13" s="23">
        <v>45231</v>
      </c>
      <c r="G13" s="23">
        <v>45261</v>
      </c>
      <c r="H13" s="23">
        <v>45292</v>
      </c>
      <c r="I13" s="23">
        <v>45323</v>
      </c>
      <c r="J13" s="23">
        <v>45352</v>
      </c>
      <c r="K13" s="23">
        <v>45383</v>
      </c>
      <c r="L13" s="23">
        <v>45413</v>
      </c>
      <c r="M13" s="23">
        <v>45444</v>
      </c>
      <c r="N13" s="24" t="s">
        <v>8</v>
      </c>
      <c r="P13" s="22" t="s">
        <v>13</v>
      </c>
      <c r="Q13" s="23">
        <v>45474</v>
      </c>
      <c r="R13" s="23">
        <v>45505</v>
      </c>
      <c r="S13" s="23">
        <v>45536</v>
      </c>
      <c r="T13" s="23">
        <v>45566</v>
      </c>
      <c r="U13" s="23">
        <v>45597</v>
      </c>
      <c r="V13" s="23">
        <v>45627</v>
      </c>
      <c r="W13" s="23">
        <v>45658</v>
      </c>
      <c r="X13" s="23">
        <v>45689</v>
      </c>
      <c r="Y13" s="23">
        <v>45717</v>
      </c>
      <c r="Z13" s="23">
        <v>45748</v>
      </c>
      <c r="AA13" s="23">
        <v>45778</v>
      </c>
      <c r="AB13" s="23">
        <v>45809</v>
      </c>
      <c r="AC13" s="24" t="s">
        <v>8</v>
      </c>
    </row>
    <row r="14" spans="1:29">
      <c r="A14" s="25" t="s">
        <v>2</v>
      </c>
      <c r="B14" s="32">
        <v>39.173561999999997</v>
      </c>
      <c r="C14" s="32">
        <v>37.834279000000002</v>
      </c>
      <c r="D14" s="32">
        <v>30.842445000000001</v>
      </c>
      <c r="E14" s="32">
        <v>36.445278999999999</v>
      </c>
      <c r="F14" s="32">
        <v>45.387000999999998</v>
      </c>
      <c r="G14" s="32">
        <v>39.543044999999999</v>
      </c>
      <c r="H14" s="32">
        <v>40.073585999999999</v>
      </c>
      <c r="I14" s="32">
        <v>50.892040999999999</v>
      </c>
      <c r="J14" s="32">
        <v>29.112148000000001</v>
      </c>
      <c r="K14" s="32">
        <v>41.874608000000002</v>
      </c>
      <c r="L14" s="32">
        <v>42.345211999999997</v>
      </c>
      <c r="M14" s="32">
        <v>89.951398999999995</v>
      </c>
      <c r="N14" s="6">
        <f>SUM(B14:M14)</f>
        <v>523.474605</v>
      </c>
      <c r="P14" s="25" t="s">
        <v>2</v>
      </c>
      <c r="Q14" s="32">
        <v>49.496127899999998</v>
      </c>
      <c r="R14" s="32">
        <v>67.803027040000003</v>
      </c>
      <c r="S14" s="32">
        <v>45.299414420000005</v>
      </c>
      <c r="T14" s="32">
        <v>49.045302630000002</v>
      </c>
      <c r="U14" s="34">
        <v>42.023575639999997</v>
      </c>
      <c r="V14" s="34">
        <v>52.402815250000003</v>
      </c>
      <c r="W14" s="34">
        <v>44.121575719999996</v>
      </c>
      <c r="X14" s="34">
        <v>41.513347880000005</v>
      </c>
      <c r="Y14" s="34">
        <v>41.454348179999997</v>
      </c>
      <c r="Z14" s="34">
        <v>29.957349409999999</v>
      </c>
      <c r="AA14" s="34">
        <v>43.760810849999999</v>
      </c>
      <c r="AB14" s="34">
        <v>59.850526770000002</v>
      </c>
      <c r="AC14" s="35">
        <f>SUM(Q14:AB14)</f>
        <v>566.72822169000005</v>
      </c>
    </row>
    <row r="15" spans="1:29">
      <c r="A15" s="25" t="s">
        <v>3</v>
      </c>
      <c r="B15" s="32">
        <v>45.187700999999997</v>
      </c>
      <c r="C15" s="32">
        <v>43.241168000000002</v>
      </c>
      <c r="D15" s="32">
        <v>43.592458000000001</v>
      </c>
      <c r="E15" s="32">
        <v>43.301031000000002</v>
      </c>
      <c r="F15" s="32">
        <v>44.704841000000002</v>
      </c>
      <c r="G15" s="32">
        <v>44.889409999999998</v>
      </c>
      <c r="H15" s="32">
        <v>49.823706999999999</v>
      </c>
      <c r="I15" s="32">
        <v>47.452542999999999</v>
      </c>
      <c r="J15" s="32">
        <v>47.621640999999997</v>
      </c>
      <c r="K15" s="32">
        <v>47.059980000000003</v>
      </c>
      <c r="L15" s="32">
        <v>44.008426999999998</v>
      </c>
      <c r="M15" s="32">
        <v>12.344567</v>
      </c>
      <c r="N15" s="7">
        <f>SUM(B15:M15)</f>
        <v>513.22747400000003</v>
      </c>
      <c r="P15" s="25" t="s">
        <v>3</v>
      </c>
      <c r="Q15" s="32">
        <v>45.507255690000001</v>
      </c>
      <c r="R15" s="32">
        <v>41.043879329999996</v>
      </c>
      <c r="S15" s="32">
        <v>43.956815200000001</v>
      </c>
      <c r="T15" s="32">
        <v>41.864207969999995</v>
      </c>
      <c r="U15" s="32">
        <v>46.506883039999998</v>
      </c>
      <c r="V15" s="32">
        <v>47.848173450000004</v>
      </c>
      <c r="W15" s="32">
        <v>48.93422648</v>
      </c>
      <c r="X15" s="32">
        <v>48.759183880000002</v>
      </c>
      <c r="Y15" s="32">
        <v>48.64674583</v>
      </c>
      <c r="Z15" s="32">
        <v>48.22544181</v>
      </c>
      <c r="AA15" s="32">
        <v>46.286107149999999</v>
      </c>
      <c r="AB15" s="32">
        <v>48.69821967</v>
      </c>
      <c r="AC15" s="7">
        <f>SUM(Q15:AB15)</f>
        <v>556.27713949999998</v>
      </c>
    </row>
    <row r="16" spans="1:29">
      <c r="A16" s="25" t="s">
        <v>10</v>
      </c>
      <c r="B16" s="8">
        <f t="shared" ref="B16:M16" si="8">B15*0.02</f>
        <v>0.90375401999999994</v>
      </c>
      <c r="C16" s="8">
        <f t="shared" si="8"/>
        <v>0.86482336000000004</v>
      </c>
      <c r="D16" s="8">
        <f t="shared" si="8"/>
        <v>0.87184916000000001</v>
      </c>
      <c r="E16" s="8">
        <f t="shared" si="8"/>
        <v>0.86602062000000002</v>
      </c>
      <c r="F16" s="8">
        <f t="shared" si="8"/>
        <v>0.89409682000000001</v>
      </c>
      <c r="G16" s="8">
        <f t="shared" si="8"/>
        <v>0.89778819999999993</v>
      </c>
      <c r="H16" s="8">
        <f t="shared" si="8"/>
        <v>0.99647414000000001</v>
      </c>
      <c r="I16" s="8">
        <f t="shared" si="8"/>
        <v>0.94905085999999994</v>
      </c>
      <c r="J16" s="8">
        <f t="shared" si="8"/>
        <v>0.95243281999999996</v>
      </c>
      <c r="K16" s="8">
        <f t="shared" si="8"/>
        <v>0.94119960000000003</v>
      </c>
      <c r="L16" s="8">
        <f t="shared" si="8"/>
        <v>0.88016854</v>
      </c>
      <c r="M16" s="8">
        <f t="shared" si="8"/>
        <v>0.24689133999999999</v>
      </c>
      <c r="N16" s="7">
        <f>SUM(B16:M16)</f>
        <v>10.264549479999998</v>
      </c>
      <c r="P16" s="25" t="s">
        <v>10</v>
      </c>
      <c r="Q16" s="8">
        <f t="shared" ref="Q16:AB16" si="9">Q15*0.02</f>
        <v>0.91014511380000007</v>
      </c>
      <c r="R16" s="8">
        <f t="shared" si="9"/>
        <v>0.82087758659999999</v>
      </c>
      <c r="S16" s="8">
        <f t="shared" si="9"/>
        <v>0.87913630400000009</v>
      </c>
      <c r="T16" s="8">
        <f t="shared" si="9"/>
        <v>0.83728415939999989</v>
      </c>
      <c r="U16" s="8">
        <f t="shared" si="9"/>
        <v>0.93013766079999993</v>
      </c>
      <c r="V16" s="8">
        <f t="shared" si="9"/>
        <v>0.95696346900000007</v>
      </c>
      <c r="W16" s="8">
        <f t="shared" si="9"/>
        <v>0.97868452959999996</v>
      </c>
      <c r="X16" s="8">
        <f t="shared" si="9"/>
        <v>0.97518367760000002</v>
      </c>
      <c r="Y16" s="8">
        <f t="shared" si="9"/>
        <v>0.97293491659999998</v>
      </c>
      <c r="Z16" s="8">
        <f t="shared" si="9"/>
        <v>0.96450883620000005</v>
      </c>
      <c r="AA16" s="8">
        <f t="shared" si="9"/>
        <v>0.925722143</v>
      </c>
      <c r="AB16" s="8">
        <f t="shared" si="9"/>
        <v>0.97396439340000007</v>
      </c>
      <c r="AC16" s="7">
        <f>SUM(Q16:AB16)</f>
        <v>11.125542789999999</v>
      </c>
    </row>
    <row r="17" spans="1:29">
      <c r="A17" s="27" t="s">
        <v>4</v>
      </c>
      <c r="B17" s="9">
        <f>B14</f>
        <v>39.173561999999997</v>
      </c>
      <c r="C17" s="9">
        <f t="shared" ref="C17:M17" si="10">B17+C14</f>
        <v>77.007840999999999</v>
      </c>
      <c r="D17" s="9">
        <f t="shared" si="10"/>
        <v>107.850286</v>
      </c>
      <c r="E17" s="9">
        <f t="shared" si="10"/>
        <v>144.29556500000001</v>
      </c>
      <c r="F17" s="9">
        <f t="shared" si="10"/>
        <v>189.68256600000001</v>
      </c>
      <c r="G17" s="9">
        <f t="shared" si="10"/>
        <v>229.22561100000001</v>
      </c>
      <c r="H17" s="9">
        <f t="shared" si="10"/>
        <v>269.29919699999999</v>
      </c>
      <c r="I17" s="9">
        <f t="shared" si="10"/>
        <v>320.191238</v>
      </c>
      <c r="J17" s="9">
        <f t="shared" si="10"/>
        <v>349.30338599999999</v>
      </c>
      <c r="K17" s="9">
        <f t="shared" si="10"/>
        <v>391.17799400000001</v>
      </c>
      <c r="L17" s="9">
        <f t="shared" si="10"/>
        <v>433.52320600000002</v>
      </c>
      <c r="M17" s="9">
        <f t="shared" si="10"/>
        <v>523.474605</v>
      </c>
      <c r="N17" s="10">
        <f>N14</f>
        <v>523.474605</v>
      </c>
      <c r="P17" s="27" t="s">
        <v>4</v>
      </c>
      <c r="Q17" s="9">
        <f>Q14</f>
        <v>49.496127899999998</v>
      </c>
      <c r="R17" s="9">
        <f t="shared" ref="R17:AB17" si="11">Q17+R14</f>
        <v>117.29915493999999</v>
      </c>
      <c r="S17" s="9">
        <f t="shared" si="11"/>
        <v>162.59856936</v>
      </c>
      <c r="T17" s="9">
        <f t="shared" si="11"/>
        <v>211.64387199000001</v>
      </c>
      <c r="U17" s="9">
        <f t="shared" si="11"/>
        <v>253.66744763</v>
      </c>
      <c r="V17" s="9">
        <f t="shared" si="11"/>
        <v>306.07026287999997</v>
      </c>
      <c r="W17" s="9">
        <f t="shared" si="11"/>
        <v>350.19183859999998</v>
      </c>
      <c r="X17" s="9">
        <f t="shared" si="11"/>
        <v>391.70518648000001</v>
      </c>
      <c r="Y17" s="9">
        <f t="shared" si="11"/>
        <v>433.15953466000002</v>
      </c>
      <c r="Z17" s="9">
        <f t="shared" si="11"/>
        <v>463.11688407000003</v>
      </c>
      <c r="AA17" s="9">
        <f t="shared" si="11"/>
        <v>506.87769492000001</v>
      </c>
      <c r="AB17" s="9">
        <f t="shared" si="11"/>
        <v>566.72822169000005</v>
      </c>
      <c r="AC17" s="10">
        <f>AC14</f>
        <v>566.72822169000005</v>
      </c>
    </row>
    <row r="18" spans="1:29">
      <c r="A18" s="25" t="s">
        <v>5</v>
      </c>
      <c r="B18" s="11">
        <f>SUM(B15:B16)</f>
        <v>46.091455019999998</v>
      </c>
      <c r="C18" s="11">
        <f t="shared" ref="C18:M18" si="12">B18+(SUM(C15:C16))</f>
        <v>90.197446380000002</v>
      </c>
      <c r="D18" s="11">
        <f t="shared" si="12"/>
        <v>134.66175354000001</v>
      </c>
      <c r="E18" s="11">
        <f t="shared" si="12"/>
        <v>178.82880516</v>
      </c>
      <c r="F18" s="11">
        <f t="shared" si="12"/>
        <v>224.42774298</v>
      </c>
      <c r="G18" s="11">
        <f t="shared" si="12"/>
        <v>270.21494117999998</v>
      </c>
      <c r="H18" s="11">
        <f t="shared" si="12"/>
        <v>321.03512231999997</v>
      </c>
      <c r="I18" s="11">
        <f t="shared" si="12"/>
        <v>369.43671617999996</v>
      </c>
      <c r="J18" s="11">
        <f t="shared" si="12"/>
        <v>418.01078999999993</v>
      </c>
      <c r="K18" s="11">
        <f t="shared" si="12"/>
        <v>466.01196959999993</v>
      </c>
      <c r="L18" s="11">
        <f t="shared" si="12"/>
        <v>510.90056513999991</v>
      </c>
      <c r="M18" s="11">
        <f t="shared" si="12"/>
        <v>523.49202347999994</v>
      </c>
      <c r="N18" s="12">
        <f>SUM(N15:N16)</f>
        <v>523.49202348000006</v>
      </c>
      <c r="P18" s="25" t="s">
        <v>5</v>
      </c>
      <c r="Q18" s="11">
        <f>SUM(Q15:Q16)</f>
        <v>46.4174008038</v>
      </c>
      <c r="R18" s="11">
        <f t="shared" ref="R18:AB18" si="13">Q18+(SUM(R15:R16))</f>
        <v>88.282157720399994</v>
      </c>
      <c r="S18" s="11">
        <f t="shared" si="13"/>
        <v>133.1181092244</v>
      </c>
      <c r="T18" s="11">
        <f t="shared" si="13"/>
        <v>175.81960135380001</v>
      </c>
      <c r="U18" s="11">
        <f t="shared" si="13"/>
        <v>223.2566220546</v>
      </c>
      <c r="V18" s="11">
        <f t="shared" si="13"/>
        <v>272.06175897360004</v>
      </c>
      <c r="W18" s="11">
        <f t="shared" si="13"/>
        <v>321.97466998320004</v>
      </c>
      <c r="X18" s="11">
        <f t="shared" si="13"/>
        <v>371.70903754080007</v>
      </c>
      <c r="Y18" s="11">
        <f t="shared" si="13"/>
        <v>421.32871828740008</v>
      </c>
      <c r="Z18" s="11">
        <f t="shared" si="13"/>
        <v>470.51866893360005</v>
      </c>
      <c r="AA18" s="11">
        <f t="shared" si="13"/>
        <v>517.73049822660005</v>
      </c>
      <c r="AB18" s="11">
        <f t="shared" si="13"/>
        <v>567.40268229000003</v>
      </c>
      <c r="AC18" s="12">
        <f>SUM(AC15:AC16)</f>
        <v>567.40268229000003</v>
      </c>
    </row>
    <row r="19" spans="1:29">
      <c r="A19" s="25" t="s">
        <v>6</v>
      </c>
      <c r="B19" s="13">
        <f t="shared" ref="B19:M19" si="14">B17/$N$18</f>
        <v>7.4831249079187964E-2</v>
      </c>
      <c r="C19" s="13">
        <f t="shared" si="14"/>
        <v>0.14710413443948506</v>
      </c>
      <c r="D19" s="13">
        <f t="shared" si="14"/>
        <v>0.20602087742053324</v>
      </c>
      <c r="E19" s="13">
        <f t="shared" si="14"/>
        <v>0.27564042722326754</v>
      </c>
      <c r="F19" s="13">
        <f t="shared" si="14"/>
        <v>0.36234089058139546</v>
      </c>
      <c r="G19" s="13">
        <f t="shared" si="14"/>
        <v>0.43787794411113418</v>
      </c>
      <c r="H19" s="13">
        <f t="shared" si="14"/>
        <v>0.51442846293968136</v>
      </c>
      <c r="I19" s="13">
        <f t="shared" si="14"/>
        <v>0.61164492225015321</v>
      </c>
      <c r="J19" s="13">
        <f t="shared" si="14"/>
        <v>0.66725636749524431</v>
      </c>
      <c r="K19" s="13">
        <f t="shared" si="14"/>
        <v>0.74724728640482319</v>
      </c>
      <c r="L19" s="13">
        <f t="shared" si="14"/>
        <v>0.82813717603199111</v>
      </c>
      <c r="M19" s="13">
        <f t="shared" si="14"/>
        <v>0.99996672636980355</v>
      </c>
      <c r="N19" s="1"/>
      <c r="P19" s="25" t="s">
        <v>6</v>
      </c>
      <c r="Q19" s="13">
        <f t="shared" ref="Q19:AB19" si="15">Q17/$AC$18</f>
        <v>8.7232805633270655E-2</v>
      </c>
      <c r="R19" s="13">
        <f t="shared" si="15"/>
        <v>0.20672999723333751</v>
      </c>
      <c r="S19" s="13">
        <f>S17/$AC$18</f>
        <v>0.28656644466988213</v>
      </c>
      <c r="T19" s="13">
        <f t="shared" si="15"/>
        <v>0.37300470828903948</v>
      </c>
      <c r="U19" s="13">
        <f t="shared" si="15"/>
        <v>0.44706776253896935</v>
      </c>
      <c r="V19" s="13">
        <f t="shared" si="15"/>
        <v>0.53942336268965185</v>
      </c>
      <c r="W19" s="13">
        <f t="shared" si="15"/>
        <v>0.6171839674543812</v>
      </c>
      <c r="X19" s="13">
        <f t="shared" si="15"/>
        <v>0.69034778774591543</v>
      </c>
      <c r="Y19" s="13">
        <f t="shared" si="15"/>
        <v>0.76340762597701606</v>
      </c>
      <c r="Z19" s="13">
        <f t="shared" si="15"/>
        <v>0.81620496082410232</v>
      </c>
      <c r="AA19" s="13">
        <f t="shared" si="15"/>
        <v>0.89332974753357675</v>
      </c>
      <c r="AB19" s="13">
        <f t="shared" si="15"/>
        <v>0.99881131933095924</v>
      </c>
      <c r="AC19" s="1" t="s">
        <v>0</v>
      </c>
    </row>
    <row r="20" spans="1:2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29">
      <c r="A21" s="22" t="s">
        <v>14</v>
      </c>
      <c r="B21" s="23">
        <v>45839</v>
      </c>
      <c r="C21" s="23">
        <v>45870</v>
      </c>
      <c r="D21" s="23">
        <v>45901</v>
      </c>
      <c r="E21" s="23">
        <v>45931</v>
      </c>
      <c r="F21" s="23">
        <v>45962</v>
      </c>
      <c r="G21" s="23">
        <v>45992</v>
      </c>
      <c r="H21" s="23">
        <v>46023</v>
      </c>
      <c r="I21" s="23">
        <v>46054</v>
      </c>
      <c r="J21" s="23">
        <v>46082</v>
      </c>
      <c r="K21" s="23">
        <v>46113</v>
      </c>
      <c r="L21" s="23">
        <v>46143</v>
      </c>
      <c r="M21" s="23">
        <v>46174</v>
      </c>
      <c r="N21" s="24" t="s">
        <v>8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s="25" t="s">
        <v>2</v>
      </c>
      <c r="B22" s="32">
        <v>41.032914320000017</v>
      </c>
      <c r="C22" s="32">
        <v>46.481486420000024</v>
      </c>
      <c r="D22" s="32">
        <v>41.610879840000003</v>
      </c>
      <c r="E22" s="32">
        <v>36.655163610000002</v>
      </c>
      <c r="F22" s="32">
        <v>31.571299800000002</v>
      </c>
      <c r="G22" s="32">
        <v>49.383574009999897</v>
      </c>
      <c r="H22" s="32">
        <v>40.201119890000001</v>
      </c>
      <c r="I22" s="32">
        <v>35.982675790000002</v>
      </c>
      <c r="J22" s="32">
        <v>42.808481</v>
      </c>
      <c r="K22" s="32">
        <v>39.938513</v>
      </c>
      <c r="L22" s="32">
        <v>53.789722129999902</v>
      </c>
      <c r="M22" s="32">
        <v>77.299224580000001</v>
      </c>
      <c r="N22" s="32">
        <f>SUM(B22:M22)</f>
        <v>536.75505438999983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s="25" t="s">
        <v>3</v>
      </c>
      <c r="B23" s="32">
        <v>46.731427708091999</v>
      </c>
      <c r="C23" s="32">
        <v>46.731427708091999</v>
      </c>
      <c r="D23" s="32">
        <v>46.731427708091999</v>
      </c>
      <c r="E23" s="32">
        <v>49.398094846666666</v>
      </c>
      <c r="F23" s="32">
        <v>49.398094846666666</v>
      </c>
      <c r="G23" s="32">
        <v>49.398094846666666</v>
      </c>
      <c r="H23" s="32">
        <v>49.398094846666673</v>
      </c>
      <c r="I23" s="32">
        <v>49.398094846666673</v>
      </c>
      <c r="J23" s="32">
        <v>49.398094846666673</v>
      </c>
      <c r="K23" s="32">
        <v>49.398094846666673</v>
      </c>
      <c r="L23" s="32">
        <v>49.398094846666673</v>
      </c>
      <c r="M23" s="32">
        <v>228.41869244</v>
      </c>
      <c r="N23" s="32">
        <f>SUM(B23:M23)</f>
        <v>763.7977343376092</v>
      </c>
      <c r="O23" s="31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>
      <c r="A24" s="25" t="s">
        <v>46</v>
      </c>
      <c r="B24" s="8">
        <f t="shared" ref="B24:L24" si="16">B23*0.02</f>
        <v>0.93462855416183999</v>
      </c>
      <c r="C24" s="8">
        <f t="shared" si="16"/>
        <v>0.93462855416183999</v>
      </c>
      <c r="D24" s="8">
        <f t="shared" si="16"/>
        <v>0.93462855416183999</v>
      </c>
      <c r="E24" s="8">
        <f t="shared" si="16"/>
        <v>0.98796189693333336</v>
      </c>
      <c r="F24" s="8">
        <f t="shared" si="16"/>
        <v>0.98796189693333336</v>
      </c>
      <c r="G24" s="8">
        <f t="shared" si="16"/>
        <v>0.98796189693333336</v>
      </c>
      <c r="H24" s="8">
        <f t="shared" si="16"/>
        <v>0.98796189693333347</v>
      </c>
      <c r="I24" s="8">
        <f t="shared" si="16"/>
        <v>0.98796189693333347</v>
      </c>
      <c r="J24" s="8">
        <f t="shared" si="16"/>
        <v>0.98796189693333347</v>
      </c>
      <c r="K24" s="8">
        <f t="shared" si="16"/>
        <v>0.98796189693333347</v>
      </c>
      <c r="L24" s="8">
        <f t="shared" si="16"/>
        <v>0.98796189693333347</v>
      </c>
      <c r="M24" s="8">
        <v>-4.3739571846975496</v>
      </c>
      <c r="N24" s="8">
        <f>SUM(B24:M24)</f>
        <v>6.3336236532546364</v>
      </c>
      <c r="O24" s="31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s="27" t="s">
        <v>4</v>
      </c>
      <c r="B25" s="9">
        <f>B22</f>
        <v>41.032914320000017</v>
      </c>
      <c r="C25" s="9">
        <f t="shared" ref="C25:L25" si="17">B25+C22</f>
        <v>87.514400740000042</v>
      </c>
      <c r="D25" s="9">
        <f t="shared" si="17"/>
        <v>129.12528058000004</v>
      </c>
      <c r="E25" s="9">
        <f t="shared" si="17"/>
        <v>165.78044419000003</v>
      </c>
      <c r="F25" s="9">
        <f t="shared" si="17"/>
        <v>197.35174399000002</v>
      </c>
      <c r="G25" s="9">
        <f t="shared" si="17"/>
        <v>246.73531799999992</v>
      </c>
      <c r="H25" s="9">
        <f t="shared" si="17"/>
        <v>286.93643788999992</v>
      </c>
      <c r="I25" s="9">
        <f t="shared" si="17"/>
        <v>322.9191136799999</v>
      </c>
      <c r="J25" s="9">
        <f t="shared" si="17"/>
        <v>365.72759467999992</v>
      </c>
      <c r="K25" s="9">
        <f t="shared" si="17"/>
        <v>405.66610767999993</v>
      </c>
      <c r="L25" s="9">
        <f t="shared" si="17"/>
        <v>459.45582980999984</v>
      </c>
      <c r="M25" s="9">
        <f>L25+M22</f>
        <v>536.75505438999983</v>
      </c>
      <c r="N25" s="9">
        <f>N22</f>
        <v>536.75505438999983</v>
      </c>
      <c r="O25" s="31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s="25" t="s">
        <v>5</v>
      </c>
      <c r="B26" s="11">
        <f>SUM(B23:B24)</f>
        <v>47.666056262253839</v>
      </c>
      <c r="C26" s="11">
        <f t="shared" ref="C26:K26" si="18">B26+(SUM(C23:C24))</f>
        <v>95.332112524507679</v>
      </c>
      <c r="D26" s="11">
        <f t="shared" si="18"/>
        <v>142.99816878676151</v>
      </c>
      <c r="E26" s="11">
        <f t="shared" si="18"/>
        <v>193.3842255303615</v>
      </c>
      <c r="F26" s="11">
        <f t="shared" si="18"/>
        <v>243.7702822739615</v>
      </c>
      <c r="G26" s="11">
        <f t="shared" si="18"/>
        <v>294.15633901756149</v>
      </c>
      <c r="H26" s="11">
        <f t="shared" si="18"/>
        <v>344.54239576116152</v>
      </c>
      <c r="I26" s="11">
        <f t="shared" si="18"/>
        <v>394.92845250476154</v>
      </c>
      <c r="J26" s="11">
        <f t="shared" si="18"/>
        <v>445.31450924836156</v>
      </c>
      <c r="K26" s="11">
        <f t="shared" si="18"/>
        <v>495.70056599196158</v>
      </c>
      <c r="L26" s="11">
        <f>K26+(SUM(L23:L24))</f>
        <v>546.0866227355616</v>
      </c>
      <c r="M26" s="11">
        <f>L26+(SUM(M23:M24))</f>
        <v>770.13135799086399</v>
      </c>
      <c r="N26" s="11">
        <f>SUM(N23:N24)</f>
        <v>770.13135799086388</v>
      </c>
      <c r="O26" s="4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s="25" t="s">
        <v>6</v>
      </c>
      <c r="B27" s="13">
        <f>B25/$N$26</f>
        <v>5.3280409756392227E-2</v>
      </c>
      <c r="C27" s="13">
        <f>C25/$N$26</f>
        <v>0.11363568024071841</v>
      </c>
      <c r="D27" s="13">
        <f t="shared" ref="D27:M27" si="19">D25/$N$26</f>
        <v>0.16766656654114825</v>
      </c>
      <c r="E27" s="13">
        <f>E25/$N$26</f>
        <v>0.21526255549766446</v>
      </c>
      <c r="F27" s="13">
        <f t="shared" si="19"/>
        <v>0.25625725006816463</v>
      </c>
      <c r="G27" s="13">
        <f t="shared" si="19"/>
        <v>0.32038082262185585</v>
      </c>
      <c r="H27" s="13">
        <f t="shared" si="19"/>
        <v>0.37258116412577486</v>
      </c>
      <c r="I27" s="13">
        <f t="shared" si="19"/>
        <v>0.4193039412424896</v>
      </c>
      <c r="J27" s="13">
        <f t="shared" si="19"/>
        <v>0.47488988843944541</v>
      </c>
      <c r="K27" s="13">
        <f t="shared" si="19"/>
        <v>0.52674924020534741</v>
      </c>
      <c r="L27" s="13">
        <f>L25/$N$26</f>
        <v>0.59659410702174054</v>
      </c>
      <c r="M27" s="13">
        <f t="shared" si="19"/>
        <v>0.69696558752041804</v>
      </c>
      <c r="N27" s="13" t="s">
        <v>0</v>
      </c>
      <c r="O27" s="4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9" spans="1:29">
      <c r="A29" s="2"/>
    </row>
    <row r="30" spans="1:29">
      <c r="A30" s="2"/>
      <c r="D30" s="32"/>
      <c r="M30" s="62"/>
      <c r="Q30" s="28"/>
      <c r="R30" s="28"/>
      <c r="S30" s="28"/>
      <c r="T30" s="28"/>
    </row>
    <row r="31" spans="1:29">
      <c r="Q31" s="28"/>
      <c r="R31" s="28"/>
      <c r="S31" s="28"/>
      <c r="T31" s="28"/>
    </row>
    <row r="32" spans="1:29"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P32" s="64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</row>
    <row r="33" spans="2:29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7"/>
      <c r="AC33" s="35"/>
    </row>
    <row r="34" spans="2:29">
      <c r="Q34" s="61"/>
      <c r="R34" s="61"/>
      <c r="S34" s="61"/>
      <c r="T34" s="61"/>
      <c r="U34" s="61"/>
      <c r="V34" s="61"/>
      <c r="W34" s="61"/>
      <c r="X34" s="61"/>
      <c r="Y34" s="61"/>
      <c r="Z34" s="61"/>
      <c r="AA34" s="61"/>
      <c r="AB34" s="61"/>
      <c r="AC34" s="68"/>
    </row>
    <row r="35" spans="2:29">
      <c r="B35" s="38"/>
      <c r="C35" s="38"/>
      <c r="D35" s="38"/>
      <c r="E35" s="38"/>
      <c r="F35" s="38"/>
      <c r="G35" s="38"/>
      <c r="H35" s="38"/>
      <c r="I35" s="38"/>
      <c r="J35" s="38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8"/>
    </row>
    <row r="36" spans="2:29">
      <c r="B36" s="29"/>
      <c r="C36" s="29"/>
      <c r="D36" s="29"/>
      <c r="E36" s="29"/>
      <c r="F36" s="29"/>
      <c r="G36" s="29"/>
      <c r="H36" s="29"/>
      <c r="I36" s="29"/>
      <c r="J36" s="29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9"/>
    </row>
    <row r="37" spans="2:29"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9"/>
    </row>
    <row r="38" spans="2:29"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"/>
    </row>
    <row r="39" spans="2:29">
      <c r="D39" s="26" t="s">
        <v>0</v>
      </c>
      <c r="E39" s="28"/>
    </row>
    <row r="40" spans="2:29">
      <c r="D40" s="26" t="s">
        <v>0</v>
      </c>
    </row>
    <row r="41" spans="2:29">
      <c r="D41" s="70"/>
    </row>
  </sheetData>
  <mergeCells count="1">
    <mergeCell ref="A1:E1"/>
  </mergeCells>
  <pageMargins left="0.7" right="0.7" top="0.75" bottom="0.75" header="0.3" footer="0.3"/>
  <pageSetup orientation="portrait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5288-53E7-4E12-9523-EA1E86512D43}">
  <dimension ref="A1:AC63"/>
  <sheetViews>
    <sheetView workbookViewId="0">
      <selection sqref="A1:E1"/>
    </sheetView>
  </sheetViews>
  <sheetFormatPr defaultColWidth="9.140625" defaultRowHeight="15"/>
  <cols>
    <col min="1" max="1" width="26.5703125" style="26" customWidth="1"/>
    <col min="2" max="3" width="13.7109375" style="26" bestFit="1" customWidth="1"/>
    <col min="4" max="4" width="7.85546875" style="26" customWidth="1"/>
    <col min="5" max="5" width="8.28515625" style="26" customWidth="1"/>
    <col min="6" max="6" width="7.7109375" style="26" customWidth="1"/>
    <col min="7" max="12" width="13.7109375" style="26" bestFit="1" customWidth="1"/>
    <col min="13" max="13" width="14.28515625" style="26" bestFit="1" customWidth="1"/>
    <col min="14" max="14" width="14.7109375" style="26" bestFit="1" customWidth="1"/>
    <col min="15" max="15" width="2.42578125" style="26" customWidth="1"/>
    <col min="16" max="16" width="18.42578125" style="26" bestFit="1" customWidth="1"/>
    <col min="17" max="18" width="7.85546875" style="26" bestFit="1" customWidth="1"/>
    <col min="19" max="19" width="8.42578125" style="26" customWidth="1"/>
    <col min="20" max="20" width="9.140625" style="26"/>
    <col min="21" max="27" width="7.85546875" style="26" bestFit="1" customWidth="1"/>
    <col min="28" max="28" width="11.85546875" style="26" bestFit="1" customWidth="1"/>
    <col min="29" max="29" width="10.5703125" style="26" bestFit="1" customWidth="1"/>
    <col min="30" max="16384" width="9.140625" style="26"/>
  </cols>
  <sheetData>
    <row r="1" spans="1:29" ht="21">
      <c r="A1" s="76" t="s">
        <v>45</v>
      </c>
      <c r="B1" s="76"/>
      <c r="C1" s="76"/>
      <c r="D1" s="76"/>
      <c r="E1" s="76"/>
    </row>
    <row r="2" spans="1:29">
      <c r="A2" s="14" t="s">
        <v>1</v>
      </c>
      <c r="B2"/>
      <c r="C2"/>
      <c r="D2"/>
      <c r="E2"/>
      <c r="F2"/>
      <c r="G2"/>
      <c r="H2"/>
      <c r="I2"/>
      <c r="J2"/>
      <c r="K2"/>
      <c r="L2"/>
      <c r="M2"/>
      <c r="N2"/>
    </row>
    <row r="3" spans="1:29">
      <c r="A3" s="5"/>
      <c r="B3"/>
      <c r="C3"/>
      <c r="D3"/>
      <c r="E3"/>
      <c r="F3"/>
      <c r="G3"/>
      <c r="H3"/>
      <c r="I3"/>
      <c r="J3"/>
      <c r="K3"/>
      <c r="L3"/>
      <c r="M3"/>
      <c r="N3"/>
    </row>
    <row r="4" spans="1:29">
      <c r="A4" s="22" t="s">
        <v>15</v>
      </c>
      <c r="B4" s="23">
        <v>44378</v>
      </c>
      <c r="C4" s="23">
        <v>44409</v>
      </c>
      <c r="D4" s="23">
        <v>44440</v>
      </c>
      <c r="E4" s="23">
        <v>44470</v>
      </c>
      <c r="F4" s="23">
        <v>44501</v>
      </c>
      <c r="G4" s="23">
        <v>44531</v>
      </c>
      <c r="H4" s="23">
        <v>44562</v>
      </c>
      <c r="I4" s="23">
        <v>44593</v>
      </c>
      <c r="J4" s="23">
        <v>44621</v>
      </c>
      <c r="K4" s="23">
        <v>44652</v>
      </c>
      <c r="L4" s="23">
        <v>44682</v>
      </c>
      <c r="M4" s="23">
        <v>44713</v>
      </c>
      <c r="N4" s="24"/>
      <c r="P4" s="22" t="s">
        <v>16</v>
      </c>
      <c r="Q4" s="23">
        <v>44378</v>
      </c>
      <c r="R4" s="23">
        <v>44409</v>
      </c>
      <c r="S4" s="23">
        <v>44440</v>
      </c>
      <c r="T4" s="23">
        <v>44470</v>
      </c>
      <c r="U4" s="23">
        <v>44501</v>
      </c>
      <c r="V4" s="23">
        <v>44531</v>
      </c>
      <c r="W4" s="23">
        <v>44562</v>
      </c>
      <c r="X4" s="23">
        <v>44593</v>
      </c>
      <c r="Y4" s="23">
        <v>44621</v>
      </c>
      <c r="Z4" s="23">
        <v>44652</v>
      </c>
      <c r="AA4" s="23">
        <v>44682</v>
      </c>
      <c r="AB4" s="23">
        <v>44713</v>
      </c>
      <c r="AC4" s="24"/>
    </row>
    <row r="5" spans="1:29">
      <c r="A5" s="25" t="s">
        <v>2</v>
      </c>
      <c r="B5" s="16">
        <f>(5112235.04-Q5)/1000000</f>
        <v>5.1122331999050399</v>
      </c>
      <c r="C5" s="16">
        <v>4.5844391</v>
      </c>
      <c r="D5" s="16">
        <v>7.4401893399999999</v>
      </c>
      <c r="E5" s="16">
        <v>3.9256682700000001</v>
      </c>
      <c r="F5" s="16">
        <v>1.3560719699999999</v>
      </c>
      <c r="G5" s="16">
        <v>3.61046595</v>
      </c>
      <c r="H5" s="16">
        <v>7.9002579100000005</v>
      </c>
      <c r="I5" s="16">
        <v>7.59894464</v>
      </c>
      <c r="J5" s="16">
        <v>12.969216699999999</v>
      </c>
      <c r="K5" s="16">
        <v>8.6191436400000008</v>
      </c>
      <c r="L5" s="16">
        <v>9.9107844399999987</v>
      </c>
      <c r="M5" s="16">
        <v>-12.14776108</v>
      </c>
      <c r="N5" s="6">
        <f>SUM(B5:M5)</f>
        <v>60.879654079905031</v>
      </c>
      <c r="P5" s="25" t="s">
        <v>2</v>
      </c>
      <c r="Q5" s="16">
        <v>1.8400949600000001</v>
      </c>
      <c r="R5" s="16">
        <v>5.4424452099999998</v>
      </c>
      <c r="S5" s="16">
        <v>9.8042785800000001</v>
      </c>
      <c r="T5" s="16">
        <v>1.7300164199999999</v>
      </c>
      <c r="U5" s="16">
        <v>7.2650815199999998</v>
      </c>
      <c r="V5" s="16">
        <v>13.095242630000001</v>
      </c>
      <c r="W5" s="16">
        <v>2.2774426600000002</v>
      </c>
      <c r="X5" s="16">
        <v>15.44585477</v>
      </c>
      <c r="Y5" s="16">
        <v>7.9102922800000002</v>
      </c>
      <c r="Z5" s="16">
        <v>1.5043692399999999</v>
      </c>
      <c r="AA5" s="16">
        <v>2.9357687299999999</v>
      </c>
      <c r="AB5" s="16">
        <v>28.55616478</v>
      </c>
      <c r="AC5" s="6">
        <f>SUM(Q5:AB5)</f>
        <v>97.807051780000023</v>
      </c>
    </row>
    <row r="6" spans="1:29">
      <c r="A6" s="25" t="s">
        <v>3</v>
      </c>
      <c r="B6" s="17">
        <v>6.7037955800000004</v>
      </c>
      <c r="C6" s="17">
        <v>9.0803314999999998</v>
      </c>
      <c r="D6" s="17">
        <v>17.724003329999999</v>
      </c>
      <c r="E6" s="17">
        <v>26.937861083200001</v>
      </c>
      <c r="F6" s="17">
        <v>33.080432916500001</v>
      </c>
      <c r="G6" s="17">
        <v>39.223004749799998</v>
      </c>
      <c r="H6" s="17">
        <v>51.508148416399997</v>
      </c>
      <c r="I6" s="17">
        <v>63.793292082999997</v>
      </c>
      <c r="J6" s="17">
        <v>76.07843574959999</v>
      </c>
      <c r="K6" s="17">
        <v>94.506151249500007</v>
      </c>
      <c r="L6" s="17">
        <v>94.506151249500007</v>
      </c>
      <c r="M6" s="17">
        <v>124.524260416</v>
      </c>
      <c r="N6" s="7">
        <f>SUM(B6:M6)</f>
        <v>637.66586832350004</v>
      </c>
      <c r="P6" s="25" t="s">
        <v>3</v>
      </c>
      <c r="Q6" s="17">
        <v>3.2393310799999999</v>
      </c>
      <c r="R6" s="17">
        <v>3.7030885800000002</v>
      </c>
      <c r="S6" s="17">
        <v>4.6619635800000001</v>
      </c>
      <c r="T6" s="17">
        <v>6.0700360800000004</v>
      </c>
      <c r="U6" s="17">
        <v>7.0087510799999997</v>
      </c>
      <c r="V6" s="17">
        <v>7.9474660799999999</v>
      </c>
      <c r="W6" s="17">
        <v>9.8248960800000003</v>
      </c>
      <c r="X6" s="17">
        <v>11.702326080000001</v>
      </c>
      <c r="Y6" s="17">
        <v>13.579756079999999</v>
      </c>
      <c r="Z6" s="17">
        <v>16.395901080000002</v>
      </c>
      <c r="AA6" s="17">
        <v>16.395901080000002</v>
      </c>
      <c r="AB6" s="17">
        <v>21.08387608</v>
      </c>
      <c r="AC6" s="7">
        <f>SUM(Q6:AB6)</f>
        <v>121.61329296</v>
      </c>
    </row>
    <row r="7" spans="1:29">
      <c r="A7" s="25" t="s">
        <v>10</v>
      </c>
      <c r="B7" s="8">
        <f t="shared" ref="B7:M7" si="0">B6*0.02</f>
        <v>0.13407591160000001</v>
      </c>
      <c r="C7" s="8">
        <f t="shared" si="0"/>
        <v>0.18160662999999999</v>
      </c>
      <c r="D7" s="8">
        <f t="shared" si="0"/>
        <v>0.35448006659999998</v>
      </c>
      <c r="E7" s="8">
        <f t="shared" si="0"/>
        <v>0.53875722166400009</v>
      </c>
      <c r="F7" s="8">
        <f t="shared" si="0"/>
        <v>0.66160865833000004</v>
      </c>
      <c r="G7" s="8">
        <f t="shared" si="0"/>
        <v>0.784460094996</v>
      </c>
      <c r="H7" s="8">
        <f t="shared" si="0"/>
        <v>1.030162968328</v>
      </c>
      <c r="I7" s="8">
        <f t="shared" si="0"/>
        <v>1.2758658416599999</v>
      </c>
      <c r="J7" s="8">
        <f t="shared" si="0"/>
        <v>1.5215687149919999</v>
      </c>
      <c r="K7" s="8">
        <f t="shared" si="0"/>
        <v>1.8901230249900003</v>
      </c>
      <c r="L7" s="8">
        <f t="shared" si="0"/>
        <v>1.8901230249900003</v>
      </c>
      <c r="M7" s="8">
        <f t="shared" si="0"/>
        <v>2.49048520832</v>
      </c>
      <c r="N7" s="7">
        <f>SUM(B7:M7)</f>
        <v>12.75331736647</v>
      </c>
      <c r="P7" s="25" t="s">
        <v>10</v>
      </c>
      <c r="Q7" s="8">
        <f t="shared" ref="Q7:AB7" si="1">Q6*0.02</f>
        <v>6.4786621599999997E-2</v>
      </c>
      <c r="R7" s="8">
        <f t="shared" si="1"/>
        <v>7.4061771600000006E-2</v>
      </c>
      <c r="S7" s="8">
        <f t="shared" si="1"/>
        <v>9.3239271600000007E-2</v>
      </c>
      <c r="T7" s="8">
        <f t="shared" si="1"/>
        <v>0.12140072160000001</v>
      </c>
      <c r="U7" s="8">
        <f t="shared" si="1"/>
        <v>0.1401750216</v>
      </c>
      <c r="V7" s="8">
        <f t="shared" si="1"/>
        <v>0.1589493216</v>
      </c>
      <c r="W7" s="8">
        <f t="shared" si="1"/>
        <v>0.19649792160000001</v>
      </c>
      <c r="X7" s="8">
        <f t="shared" si="1"/>
        <v>0.23404652160000003</v>
      </c>
      <c r="Y7" s="8">
        <f t="shared" si="1"/>
        <v>0.27159512159999999</v>
      </c>
      <c r="Z7" s="8">
        <f t="shared" si="1"/>
        <v>0.32791802160000005</v>
      </c>
      <c r="AA7" s="8">
        <f t="shared" si="1"/>
        <v>0.32791802160000005</v>
      </c>
      <c r="AB7" s="8">
        <f t="shared" si="1"/>
        <v>0.42167752159999999</v>
      </c>
      <c r="AC7" s="7">
        <f>SUM(Q7:AB7)</f>
        <v>2.4322658591999997</v>
      </c>
    </row>
    <row r="8" spans="1:29">
      <c r="A8" s="27" t="s">
        <v>4</v>
      </c>
      <c r="B8" s="9">
        <f>B5</f>
        <v>5.1122331999050399</v>
      </c>
      <c r="C8" s="9">
        <f t="shared" ref="C8:M8" si="2">B8+C5</f>
        <v>9.696672299905039</v>
      </c>
      <c r="D8" s="9">
        <f t="shared" si="2"/>
        <v>17.136861639905039</v>
      </c>
      <c r="E8" s="9">
        <f t="shared" si="2"/>
        <v>21.062529909905038</v>
      </c>
      <c r="F8" s="9">
        <f t="shared" si="2"/>
        <v>22.418601879905037</v>
      </c>
      <c r="G8" s="9">
        <f t="shared" si="2"/>
        <v>26.029067829905038</v>
      </c>
      <c r="H8" s="9">
        <f t="shared" si="2"/>
        <v>33.929325739905039</v>
      </c>
      <c r="I8" s="9">
        <f t="shared" si="2"/>
        <v>41.528270379905038</v>
      </c>
      <c r="J8" s="9">
        <f t="shared" si="2"/>
        <v>54.497487079905035</v>
      </c>
      <c r="K8" s="9">
        <f t="shared" si="2"/>
        <v>63.116630719905032</v>
      </c>
      <c r="L8" s="9">
        <f t="shared" si="2"/>
        <v>73.027415159905033</v>
      </c>
      <c r="M8" s="9">
        <f t="shared" si="2"/>
        <v>60.879654079905031</v>
      </c>
      <c r="N8" s="10">
        <f>M8</f>
        <v>60.879654079905031</v>
      </c>
      <c r="P8" s="27" t="s">
        <v>4</v>
      </c>
      <c r="Q8" s="9">
        <f>Q5</f>
        <v>1.8400949600000001</v>
      </c>
      <c r="R8" s="9">
        <f t="shared" ref="R8:AB8" si="3">Q8+R5</f>
        <v>7.2825401699999999</v>
      </c>
      <c r="S8" s="9">
        <f t="shared" si="3"/>
        <v>17.086818749999999</v>
      </c>
      <c r="T8" s="9">
        <f t="shared" si="3"/>
        <v>18.816835169999997</v>
      </c>
      <c r="U8" s="9">
        <f t="shared" si="3"/>
        <v>26.081916689999996</v>
      </c>
      <c r="V8" s="9">
        <f t="shared" si="3"/>
        <v>39.177159320000001</v>
      </c>
      <c r="W8" s="9">
        <f t="shared" si="3"/>
        <v>41.45460198</v>
      </c>
      <c r="X8" s="9">
        <f t="shared" si="3"/>
        <v>56.900456750000004</v>
      </c>
      <c r="Y8" s="9">
        <f t="shared" si="3"/>
        <v>64.810749030000011</v>
      </c>
      <c r="Z8" s="9">
        <f t="shared" si="3"/>
        <v>66.315118270000013</v>
      </c>
      <c r="AA8" s="9">
        <f t="shared" si="3"/>
        <v>69.25088700000002</v>
      </c>
      <c r="AB8" s="9">
        <f t="shared" si="3"/>
        <v>97.807051780000023</v>
      </c>
      <c r="AC8" s="10">
        <f>AB8</f>
        <v>97.807051780000023</v>
      </c>
    </row>
    <row r="9" spans="1:29">
      <c r="A9" s="25" t="s">
        <v>5</v>
      </c>
      <c r="B9" s="11">
        <f>SUM(B6:B7)</f>
        <v>6.8378714916000005</v>
      </c>
      <c r="C9" s="11">
        <f t="shared" ref="C9:M9" si="4">B9+(SUM(C6:C7))</f>
        <v>16.099809621599999</v>
      </c>
      <c r="D9" s="11">
        <f t="shared" si="4"/>
        <v>34.178293018199994</v>
      </c>
      <c r="E9" s="11">
        <f t="shared" si="4"/>
        <v>61.654911323063999</v>
      </c>
      <c r="F9" s="11">
        <f t="shared" si="4"/>
        <v>95.39695289789401</v>
      </c>
      <c r="G9" s="11">
        <f t="shared" si="4"/>
        <v>135.40441774269001</v>
      </c>
      <c r="H9" s="11">
        <f t="shared" si="4"/>
        <v>187.942729127418</v>
      </c>
      <c r="I9" s="11">
        <f t="shared" si="4"/>
        <v>253.01188705207801</v>
      </c>
      <c r="J9" s="11">
        <f t="shared" si="4"/>
        <v>330.61189151666997</v>
      </c>
      <c r="K9" s="11">
        <f t="shared" si="4"/>
        <v>427.00816579115997</v>
      </c>
      <c r="L9" s="11">
        <f t="shared" si="4"/>
        <v>523.40444006564996</v>
      </c>
      <c r="M9" s="11">
        <f t="shared" si="4"/>
        <v>650.41918568996994</v>
      </c>
      <c r="N9" s="12">
        <f>SUM(N6:N7)</f>
        <v>650.41918568997005</v>
      </c>
      <c r="P9" s="25" t="s">
        <v>5</v>
      </c>
      <c r="Q9" s="11">
        <f>SUM(Q6:Q7)</f>
        <v>3.3041177016000001</v>
      </c>
      <c r="R9" s="11">
        <f t="shared" ref="R9:AB9" si="5">Q9+(SUM(R6:R7))</f>
        <v>7.0812680532000005</v>
      </c>
      <c r="S9" s="11">
        <f t="shared" si="5"/>
        <v>11.836470904800001</v>
      </c>
      <c r="T9" s="11">
        <f t="shared" si="5"/>
        <v>18.027907706400001</v>
      </c>
      <c r="U9" s="11">
        <f t="shared" si="5"/>
        <v>25.176833808000001</v>
      </c>
      <c r="V9" s="11">
        <f t="shared" si="5"/>
        <v>33.283249209600001</v>
      </c>
      <c r="W9" s="11">
        <f t="shared" si="5"/>
        <v>43.304643211200002</v>
      </c>
      <c r="X9" s="11">
        <f t="shared" si="5"/>
        <v>55.241015812800001</v>
      </c>
      <c r="Y9" s="11">
        <f t="shared" si="5"/>
        <v>69.092367014399997</v>
      </c>
      <c r="Z9" s="11">
        <f t="shared" si="5"/>
        <v>85.816186115999997</v>
      </c>
      <c r="AA9" s="11">
        <f t="shared" si="5"/>
        <v>102.5400052176</v>
      </c>
      <c r="AB9" s="11">
        <f t="shared" si="5"/>
        <v>124.0455588192</v>
      </c>
      <c r="AC9" s="12">
        <f>SUM(AC6:AC7)</f>
        <v>124.0455588192</v>
      </c>
    </row>
    <row r="10" spans="1:29">
      <c r="A10" s="25" t="s">
        <v>6</v>
      </c>
      <c r="B10" s="13">
        <f>B8/$N$9</f>
        <v>7.8599052924337408E-3</v>
      </c>
      <c r="C10" s="13">
        <f t="shared" ref="C10:M10" si="6">C8/$N$9</f>
        <v>1.490834297825752E-2</v>
      </c>
      <c r="D10" s="13">
        <f t="shared" si="6"/>
        <v>2.6347411049577382E-2</v>
      </c>
      <c r="E10" s="13">
        <f t="shared" si="6"/>
        <v>3.2383008332636638E-2</v>
      </c>
      <c r="F10" s="13">
        <f t="shared" si="6"/>
        <v>3.4467928334744921E-2</v>
      </c>
      <c r="G10" s="13">
        <f t="shared" si="6"/>
        <v>4.0018911499809448E-2</v>
      </c>
      <c r="H10" s="13">
        <f t="shared" si="6"/>
        <v>5.21653212057583E-2</v>
      </c>
      <c r="I10" s="13">
        <f t="shared" si="6"/>
        <v>6.3848470791727188E-2</v>
      </c>
      <c r="J10" s="13">
        <f t="shared" si="6"/>
        <v>8.3788252682143211E-2</v>
      </c>
      <c r="K10" s="13">
        <f t="shared" si="6"/>
        <v>9.7039927647506879E-2</v>
      </c>
      <c r="L10" s="13">
        <f t="shared" si="6"/>
        <v>0.11227746162259489</v>
      </c>
      <c r="M10" s="13">
        <f t="shared" si="6"/>
        <v>9.3600643122670787E-2</v>
      </c>
      <c r="N10" s="1"/>
      <c r="P10" s="25" t="s">
        <v>6</v>
      </c>
      <c r="Q10" s="13">
        <f t="shared" ref="Q10:AB10" si="7">Q8/$AC$9</f>
        <v>1.4834025317117494E-2</v>
      </c>
      <c r="R10" s="13">
        <f t="shared" si="7"/>
        <v>5.8708592547150468E-2</v>
      </c>
      <c r="S10" s="13">
        <f t="shared" si="7"/>
        <v>0.13774631605235085</v>
      </c>
      <c r="T10" s="13">
        <f t="shared" si="7"/>
        <v>0.15169293724917698</v>
      </c>
      <c r="U10" s="13">
        <f t="shared" si="7"/>
        <v>0.21026078594248704</v>
      </c>
      <c r="V10" s="13">
        <f t="shared" si="7"/>
        <v>0.31582879462135238</v>
      </c>
      <c r="W10" s="13">
        <f t="shared" si="7"/>
        <v>0.33418852214146</v>
      </c>
      <c r="X10" s="13">
        <f t="shared" si="7"/>
        <v>0.45870611807178097</v>
      </c>
      <c r="Y10" s="13">
        <f t="shared" si="7"/>
        <v>0.52247536829967089</v>
      </c>
      <c r="Z10" s="13">
        <f t="shared" si="7"/>
        <v>0.53460292251701025</v>
      </c>
      <c r="AA10" s="13">
        <f t="shared" si="7"/>
        <v>0.55826978135456828</v>
      </c>
      <c r="AB10" s="13">
        <f t="shared" si="7"/>
        <v>0.78847685246479993</v>
      </c>
      <c r="AC10" s="1"/>
    </row>
    <row r="11" spans="1:29"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29">
      <c r="A12" s="22" t="s">
        <v>17</v>
      </c>
      <c r="B12" s="23">
        <v>44743</v>
      </c>
      <c r="C12" s="23">
        <v>44774</v>
      </c>
      <c r="D12" s="23">
        <v>44805</v>
      </c>
      <c r="E12" s="23">
        <v>44835</v>
      </c>
      <c r="F12" s="23">
        <v>44866</v>
      </c>
      <c r="G12" s="23">
        <v>44896</v>
      </c>
      <c r="H12" s="23">
        <v>44927</v>
      </c>
      <c r="I12" s="23">
        <v>44958</v>
      </c>
      <c r="J12" s="23">
        <v>44986</v>
      </c>
      <c r="K12" s="23">
        <v>45017</v>
      </c>
      <c r="L12" s="23">
        <v>45047</v>
      </c>
      <c r="M12" s="23">
        <v>45078</v>
      </c>
      <c r="N12" s="24"/>
      <c r="P12" s="22" t="s">
        <v>18</v>
      </c>
      <c r="Q12" s="23">
        <v>44743</v>
      </c>
      <c r="R12" s="23">
        <v>44774</v>
      </c>
      <c r="S12" s="23">
        <v>44805</v>
      </c>
      <c r="T12" s="23">
        <v>44835</v>
      </c>
      <c r="U12" s="23">
        <v>44866</v>
      </c>
      <c r="V12" s="23">
        <v>44896</v>
      </c>
      <c r="W12" s="23">
        <v>44927</v>
      </c>
      <c r="X12" s="23">
        <v>44958</v>
      </c>
      <c r="Y12" s="23">
        <v>44986</v>
      </c>
      <c r="Z12" s="23">
        <v>45017</v>
      </c>
      <c r="AA12" s="23">
        <v>45047</v>
      </c>
      <c r="AB12" s="23">
        <v>45078</v>
      </c>
      <c r="AC12" s="24"/>
    </row>
    <row r="13" spans="1:29">
      <c r="A13" s="25" t="s">
        <v>2</v>
      </c>
      <c r="B13" s="16">
        <v>11.235245750000004</v>
      </c>
      <c r="C13" s="16">
        <v>15.772390670000002</v>
      </c>
      <c r="D13" s="16">
        <v>10.606227789999997</v>
      </c>
      <c r="E13" s="16">
        <v>7.2692359799999986</v>
      </c>
      <c r="F13" s="16">
        <v>22.237281819999996</v>
      </c>
      <c r="G13" s="16">
        <v>26.342838130000001</v>
      </c>
      <c r="H13" s="16">
        <v>35.657526830000009</v>
      </c>
      <c r="I13" s="16">
        <v>45.747198029999979</v>
      </c>
      <c r="J13" s="16">
        <v>48.73134761999998</v>
      </c>
      <c r="K13" s="16">
        <v>47.512324500000005</v>
      </c>
      <c r="L13" s="16">
        <v>61.963509240000022</v>
      </c>
      <c r="M13" s="16">
        <v>68.491801380000055</v>
      </c>
      <c r="N13" s="6">
        <f>SUM(B13:M13)</f>
        <v>401.5669277400001</v>
      </c>
      <c r="P13" s="25" t="s">
        <v>2</v>
      </c>
      <c r="Q13" s="16">
        <v>3.2792561999999994</v>
      </c>
      <c r="R13" s="16">
        <v>4.0001036100000027</v>
      </c>
      <c r="S13" s="16">
        <v>2.3397371999999956</v>
      </c>
      <c r="T13" s="16">
        <v>4.0183944599999997</v>
      </c>
      <c r="U13" s="16">
        <v>4.7679679999999998</v>
      </c>
      <c r="V13" s="16">
        <v>7.8907192899999989</v>
      </c>
      <c r="W13" s="16">
        <v>10.276830170000002</v>
      </c>
      <c r="X13" s="16">
        <v>7.3550039100000042</v>
      </c>
      <c r="Y13" s="16">
        <v>8.090795300000007</v>
      </c>
      <c r="Z13" s="16">
        <v>5.6948088700000081</v>
      </c>
      <c r="AA13" s="16">
        <v>5.5758030199999995</v>
      </c>
      <c r="AB13" s="16">
        <v>17.670051749999985</v>
      </c>
      <c r="AC13" s="6">
        <f>SUM(Q13:AB13)</f>
        <v>80.959471780000015</v>
      </c>
    </row>
    <row r="14" spans="1:29">
      <c r="A14" s="25" t="s">
        <v>3</v>
      </c>
      <c r="B14" s="17">
        <f>(47462196.9949321)/1000000</f>
        <v>47.4621969949321</v>
      </c>
      <c r="C14" s="17">
        <f>(45998437.0649321)/1000000</f>
        <v>45.998437064932098</v>
      </c>
      <c r="D14" s="17">
        <f>(47133617.0549321)/1000000</f>
        <v>47.133617054932103</v>
      </c>
      <c r="E14" s="17">
        <f>(46101533.0649321)/1000000</f>
        <v>46.101533064932099</v>
      </c>
      <c r="F14" s="17">
        <f>(46891743.0649321)/1000000</f>
        <v>46.891743064932101</v>
      </c>
      <c r="G14" s="17">
        <f>(48206691.2463639)/1000000</f>
        <v>48.206691246363903</v>
      </c>
      <c r="H14" s="17">
        <f>(48125003.0649321)/1000000</f>
        <v>48.125003064932102</v>
      </c>
      <c r="I14" s="17">
        <f>(47020003.0649321)/1000000</f>
        <v>47.020003064932098</v>
      </c>
      <c r="J14" s="17">
        <f>(46645003.0549321)/1000000</f>
        <v>46.645003054932104</v>
      </c>
      <c r="K14" s="17">
        <f>(48353851.0649321)/1000000</f>
        <v>48.353851064932101</v>
      </c>
      <c r="L14" s="17">
        <f>(48243851.0649321)/1000000</f>
        <v>48.243851064932102</v>
      </c>
      <c r="M14" s="17">
        <v>49.163851004932049</v>
      </c>
      <c r="N14" s="7">
        <f>SUM(B14:M14)</f>
        <v>569.34578081061693</v>
      </c>
      <c r="P14" s="25" t="s">
        <v>3</v>
      </c>
      <c r="Q14" s="17">
        <f>(6520603.05187649)/1000000</f>
        <v>6.5206030518764901</v>
      </c>
      <c r="R14" s="17">
        <f>(7000595.05187649)/1000000</f>
        <v>7.0005950518764903</v>
      </c>
      <c r="S14" s="17">
        <f>(9350595.05187649)/1000000</f>
        <v>9.3505950518764891</v>
      </c>
      <c r="T14" s="17">
        <f>(7344095.05187649)/1000000</f>
        <v>7.34409505187649</v>
      </c>
      <c r="U14" s="17">
        <f>(6147095.05187649)/1000000</f>
        <v>6.14709505187649</v>
      </c>
      <c r="V14" s="17">
        <f>(6421995.05187649)/1000000</f>
        <v>6.4219950518764897</v>
      </c>
      <c r="W14" s="17">
        <f>(6036011.71854315)/1000000</f>
        <v>6.0360117185431506</v>
      </c>
      <c r="X14" s="17">
        <f>(5739611.72)/1000000</f>
        <v>5.7396117200000001</v>
      </c>
      <c r="Y14" s="17">
        <f>(6133513.08583333)/1000000</f>
        <v>6.1335130858333295</v>
      </c>
      <c r="Z14" s="17">
        <f>(5751013.0558333)/1000000</f>
        <v>5.7510130558332992</v>
      </c>
      <c r="AA14" s="17">
        <f>(5741013.04583333)/1000000</f>
        <v>5.7410130458333297</v>
      </c>
      <c r="AB14" s="17">
        <v>3.5270790000000001</v>
      </c>
      <c r="AC14" s="7">
        <f>SUM(Q14:AB14)</f>
        <v>75.713219937302043</v>
      </c>
    </row>
    <row r="15" spans="1:29">
      <c r="A15" s="25" t="s">
        <v>10</v>
      </c>
      <c r="B15" s="8">
        <f t="shared" ref="B15:M15" si="8">B14*0.02</f>
        <v>0.94924393989864198</v>
      </c>
      <c r="C15" s="8">
        <f t="shared" si="8"/>
        <v>0.91996874129864192</v>
      </c>
      <c r="D15" s="8">
        <f t="shared" si="8"/>
        <v>0.94267234109864206</v>
      </c>
      <c r="E15" s="8">
        <f t="shared" si="8"/>
        <v>0.92203066129864197</v>
      </c>
      <c r="F15" s="8">
        <f t="shared" si="8"/>
        <v>0.93783486129864202</v>
      </c>
      <c r="G15" s="8">
        <f t="shared" si="8"/>
        <v>0.96413382492727806</v>
      </c>
      <c r="H15" s="8">
        <f t="shared" si="8"/>
        <v>0.96250006129864207</v>
      </c>
      <c r="I15" s="8">
        <f t="shared" si="8"/>
        <v>0.94040006129864195</v>
      </c>
      <c r="J15" s="8">
        <f t="shared" si="8"/>
        <v>0.9329000610986421</v>
      </c>
      <c r="K15" s="8">
        <f t="shared" si="8"/>
        <v>0.96707702129864204</v>
      </c>
      <c r="L15" s="8">
        <f t="shared" si="8"/>
        <v>0.96487702129864206</v>
      </c>
      <c r="M15" s="8">
        <f t="shared" si="8"/>
        <v>0.98327702009864104</v>
      </c>
      <c r="N15" s="7">
        <f>SUM(B15:M15)</f>
        <v>11.38691561621234</v>
      </c>
      <c r="P15" s="25" t="s">
        <v>10</v>
      </c>
      <c r="Q15" s="8">
        <f t="shared" ref="Q15:AB15" si="9">Q14*0.02</f>
        <v>0.13041206103752981</v>
      </c>
      <c r="R15" s="8">
        <f t="shared" si="9"/>
        <v>0.14001190103752981</v>
      </c>
      <c r="S15" s="8">
        <f t="shared" si="9"/>
        <v>0.18701190103752979</v>
      </c>
      <c r="T15" s="8">
        <f t="shared" si="9"/>
        <v>0.14688190103752979</v>
      </c>
      <c r="U15" s="8">
        <f t="shared" si="9"/>
        <v>0.1229419010375298</v>
      </c>
      <c r="V15" s="8">
        <f t="shared" si="9"/>
        <v>0.12843990103752981</v>
      </c>
      <c r="W15" s="8">
        <f t="shared" si="9"/>
        <v>0.12072023437086302</v>
      </c>
      <c r="X15" s="8">
        <f t="shared" si="9"/>
        <v>0.1147922344</v>
      </c>
      <c r="Y15" s="8">
        <f t="shared" si="9"/>
        <v>0.12267026171666659</v>
      </c>
      <c r="Z15" s="8">
        <f t="shared" si="9"/>
        <v>0.11502026111666598</v>
      </c>
      <c r="AA15" s="8">
        <f t="shared" si="9"/>
        <v>0.1148202609166666</v>
      </c>
      <c r="AB15" s="8">
        <f t="shared" si="9"/>
        <v>7.0541580000000007E-2</v>
      </c>
      <c r="AC15" s="7">
        <f>SUM(Q15:AB15)</f>
        <v>1.5142643987460409</v>
      </c>
    </row>
    <row r="16" spans="1:29">
      <c r="A16" s="27" t="s">
        <v>4</v>
      </c>
      <c r="B16" s="9">
        <f>B13</f>
        <v>11.235245750000004</v>
      </c>
      <c r="C16" s="9">
        <f t="shared" ref="C16:M16" si="10">B16+C13</f>
        <v>27.007636420000004</v>
      </c>
      <c r="D16" s="9">
        <f t="shared" si="10"/>
        <v>37.613864210000003</v>
      </c>
      <c r="E16" s="9">
        <f t="shared" si="10"/>
        <v>44.88310019</v>
      </c>
      <c r="F16" s="9">
        <f t="shared" si="10"/>
        <v>67.12038201</v>
      </c>
      <c r="G16" s="9">
        <f t="shared" si="10"/>
        <v>93.463220140000004</v>
      </c>
      <c r="H16" s="9">
        <f t="shared" si="10"/>
        <v>129.12074697000003</v>
      </c>
      <c r="I16" s="9">
        <f t="shared" si="10"/>
        <v>174.86794500000002</v>
      </c>
      <c r="J16" s="9">
        <f t="shared" si="10"/>
        <v>223.59929262</v>
      </c>
      <c r="K16" s="9">
        <f t="shared" si="10"/>
        <v>271.11161712000001</v>
      </c>
      <c r="L16" s="9">
        <f t="shared" si="10"/>
        <v>333.07512636000001</v>
      </c>
      <c r="M16" s="9">
        <f t="shared" si="10"/>
        <v>401.5669277400001</v>
      </c>
      <c r="N16" s="10">
        <f>M16</f>
        <v>401.5669277400001</v>
      </c>
      <c r="P16" s="27" t="s">
        <v>4</v>
      </c>
      <c r="Q16" s="9">
        <f>Q13</f>
        <v>3.2792561999999994</v>
      </c>
      <c r="R16" s="9">
        <f t="shared" ref="R16:AB16" si="11">Q16+R13</f>
        <v>7.2793598100000025</v>
      </c>
      <c r="S16" s="9">
        <f t="shared" si="11"/>
        <v>9.6190970099999973</v>
      </c>
      <c r="T16" s="9">
        <f t="shared" si="11"/>
        <v>13.637491469999997</v>
      </c>
      <c r="U16" s="9">
        <f t="shared" si="11"/>
        <v>18.405459469999997</v>
      </c>
      <c r="V16" s="9">
        <f t="shared" si="11"/>
        <v>26.296178759999997</v>
      </c>
      <c r="W16" s="9">
        <f t="shared" si="11"/>
        <v>36.57300893</v>
      </c>
      <c r="X16" s="9">
        <f t="shared" si="11"/>
        <v>43.928012840000008</v>
      </c>
      <c r="Y16" s="9">
        <f t="shared" si="11"/>
        <v>52.018808140000019</v>
      </c>
      <c r="Z16" s="9">
        <f t="shared" si="11"/>
        <v>57.713617010000029</v>
      </c>
      <c r="AA16" s="9">
        <f t="shared" si="11"/>
        <v>63.289420030000031</v>
      </c>
      <c r="AB16" s="9">
        <f t="shared" si="11"/>
        <v>80.959471780000015</v>
      </c>
      <c r="AC16" s="10">
        <f>AB16</f>
        <v>80.959471780000015</v>
      </c>
    </row>
    <row r="17" spans="1:29">
      <c r="A17" s="25" t="s">
        <v>5</v>
      </c>
      <c r="B17" s="11">
        <f>SUM(B14:B15)</f>
        <v>48.411440934830743</v>
      </c>
      <c r="C17" s="11">
        <f t="shared" ref="C17:M17" si="12">B17+SUM(C14:C15)</f>
        <v>95.329846741061488</v>
      </c>
      <c r="D17" s="11">
        <f t="shared" si="12"/>
        <v>143.40613613709223</v>
      </c>
      <c r="E17" s="11">
        <f>D17+SUM(E14:E15)</f>
        <v>190.42969986332298</v>
      </c>
      <c r="F17" s="11">
        <f t="shared" si="12"/>
        <v>238.25927778955372</v>
      </c>
      <c r="G17" s="11">
        <f t="shared" si="12"/>
        <v>287.4301028608449</v>
      </c>
      <c r="H17" s="11">
        <f t="shared" si="12"/>
        <v>336.51760598707563</v>
      </c>
      <c r="I17" s="11">
        <f t="shared" si="12"/>
        <v>384.47800911330637</v>
      </c>
      <c r="J17" s="11">
        <f t="shared" si="12"/>
        <v>432.05591222933714</v>
      </c>
      <c r="K17" s="11">
        <f t="shared" si="12"/>
        <v>481.3768403155679</v>
      </c>
      <c r="L17" s="11">
        <f t="shared" si="12"/>
        <v>530.5855684017987</v>
      </c>
      <c r="M17" s="11">
        <f t="shared" si="12"/>
        <v>580.73269642682942</v>
      </c>
      <c r="N17" s="12">
        <f>SUM(N14:N15)</f>
        <v>580.73269642682931</v>
      </c>
      <c r="P17" s="25" t="s">
        <v>5</v>
      </c>
      <c r="Q17" s="11">
        <f>SUM(Q14:Q15)</f>
        <v>6.6510151129140196</v>
      </c>
      <c r="R17" s="11">
        <f t="shared" ref="R17:AB17" si="13">Q17+SUM(R14:R15)</f>
        <v>13.79162206582804</v>
      </c>
      <c r="S17" s="11">
        <f t="shared" si="13"/>
        <v>23.329229018742058</v>
      </c>
      <c r="T17" s="11">
        <f t="shared" si="13"/>
        <v>30.82020597165608</v>
      </c>
      <c r="U17" s="11">
        <f t="shared" si="13"/>
        <v>37.090242924570099</v>
      </c>
      <c r="V17" s="11">
        <f t="shared" si="13"/>
        <v>43.640677877484116</v>
      </c>
      <c r="W17" s="11">
        <f t="shared" si="13"/>
        <v>49.797409830398131</v>
      </c>
      <c r="X17" s="11">
        <f t="shared" si="13"/>
        <v>55.651813784798129</v>
      </c>
      <c r="Y17" s="11">
        <f t="shared" si="13"/>
        <v>61.907997132348129</v>
      </c>
      <c r="Z17" s="11">
        <f t="shared" si="13"/>
        <v>67.774030449298095</v>
      </c>
      <c r="AA17" s="11">
        <f t="shared" si="13"/>
        <v>73.629863756048096</v>
      </c>
      <c r="AB17" s="11">
        <f t="shared" si="13"/>
        <v>77.227484336048093</v>
      </c>
      <c r="AC17" s="12">
        <f>SUM(AC14:AC15)</f>
        <v>77.227484336048079</v>
      </c>
    </row>
    <row r="18" spans="1:29">
      <c r="A18" s="25" t="s">
        <v>6</v>
      </c>
      <c r="B18" s="13">
        <f t="shared" ref="B18:M18" si="14">B16/$N$17</f>
        <v>1.9346673295870837E-2</v>
      </c>
      <c r="C18" s="13">
        <f t="shared" si="14"/>
        <v>4.6506140580983957E-2</v>
      </c>
      <c r="D18" s="13">
        <f t="shared" si="14"/>
        <v>6.4769668457507354E-2</v>
      </c>
      <c r="E18" s="13">
        <f>E16/$N$17</f>
        <v>7.728702114787013E-2</v>
      </c>
      <c r="F18" s="13">
        <f t="shared" si="14"/>
        <v>0.11557878938620599</v>
      </c>
      <c r="G18" s="13">
        <f t="shared" si="14"/>
        <v>0.16094017215677145</v>
      </c>
      <c r="H18" s="13">
        <f t="shared" si="14"/>
        <v>0.22234110075851202</v>
      </c>
      <c r="I18" s="13">
        <f t="shared" si="14"/>
        <v>0.30111606609364194</v>
      </c>
      <c r="J18" s="13">
        <f t="shared" si="14"/>
        <v>0.38502962549857545</v>
      </c>
      <c r="K18" s="13">
        <f t="shared" si="14"/>
        <v>0.46684407264842082</v>
      </c>
      <c r="L18" s="13">
        <f t="shared" si="14"/>
        <v>0.57354291984826544</v>
      </c>
      <c r="M18" s="13">
        <f t="shared" si="14"/>
        <v>0.69148324213667967</v>
      </c>
      <c r="N18" s="1"/>
      <c r="P18" s="25" t="s">
        <v>6</v>
      </c>
      <c r="Q18" s="13">
        <f>Q16/$AC$17</f>
        <v>4.2462294715319572E-2</v>
      </c>
      <c r="R18" s="13">
        <f t="shared" ref="R18:AB18" si="15">R16/$AB$17</f>
        <v>9.4258668045233182E-2</v>
      </c>
      <c r="S18" s="13">
        <f t="shared" si="15"/>
        <v>0.1245553586614761</v>
      </c>
      <c r="T18" s="13">
        <f t="shared" si="15"/>
        <v>0.17658857578032378</v>
      </c>
      <c r="U18" s="13">
        <f t="shared" si="15"/>
        <v>0.23832783921732295</v>
      </c>
      <c r="V18" s="13">
        <f t="shared" si="15"/>
        <v>0.34050285317562157</v>
      </c>
      <c r="W18" s="13">
        <f t="shared" si="15"/>
        <v>0.47357503930668016</v>
      </c>
      <c r="X18" s="13">
        <f t="shared" si="15"/>
        <v>0.56881320449144002</v>
      </c>
      <c r="Y18" s="13">
        <f t="shared" si="15"/>
        <v>0.67357895427028414</v>
      </c>
      <c r="Z18" s="13">
        <f t="shared" si="15"/>
        <v>0.74731965577001946</v>
      </c>
      <c r="AA18" s="13">
        <f t="shared" si="15"/>
        <v>0.81951937932617491</v>
      </c>
      <c r="AB18" s="13">
        <f t="shared" si="15"/>
        <v>1.0483246019993677</v>
      </c>
      <c r="AC18" s="1"/>
    </row>
    <row r="19" spans="1:29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29">
      <c r="A20" s="22" t="s">
        <v>19</v>
      </c>
      <c r="B20" s="23">
        <v>45108</v>
      </c>
      <c r="C20" s="23">
        <v>45139</v>
      </c>
      <c r="D20" s="23">
        <v>45170</v>
      </c>
      <c r="E20" s="23">
        <v>45200</v>
      </c>
      <c r="F20" s="23">
        <v>45231</v>
      </c>
      <c r="G20" s="23">
        <v>45261</v>
      </c>
      <c r="H20" s="23">
        <v>45292</v>
      </c>
      <c r="I20" s="23">
        <v>45323</v>
      </c>
      <c r="J20" s="23">
        <v>45352</v>
      </c>
      <c r="K20" s="23">
        <v>45383</v>
      </c>
      <c r="L20" s="23">
        <v>45413</v>
      </c>
      <c r="M20" s="23">
        <v>45444</v>
      </c>
      <c r="N20" s="24"/>
      <c r="P20" s="22" t="s">
        <v>20</v>
      </c>
      <c r="Q20" s="23">
        <v>45108</v>
      </c>
      <c r="R20" s="23">
        <v>45139</v>
      </c>
      <c r="S20" s="23">
        <v>45170</v>
      </c>
      <c r="T20" s="23">
        <v>45200</v>
      </c>
      <c r="U20" s="23">
        <v>45231</v>
      </c>
      <c r="V20" s="23">
        <v>45261</v>
      </c>
      <c r="W20" s="23">
        <v>45292</v>
      </c>
      <c r="X20" s="23">
        <v>45323</v>
      </c>
      <c r="Y20" s="23">
        <v>45352</v>
      </c>
      <c r="Z20" s="23">
        <v>45383</v>
      </c>
      <c r="AA20" s="23">
        <v>45413</v>
      </c>
      <c r="AB20" s="23">
        <v>45444</v>
      </c>
      <c r="AC20" s="24"/>
    </row>
    <row r="21" spans="1:29">
      <c r="A21" s="25" t="s">
        <v>2</v>
      </c>
      <c r="B21" s="16">
        <v>37.470523999999997</v>
      </c>
      <c r="C21" s="16">
        <v>54.422998</v>
      </c>
      <c r="D21" s="16">
        <v>71.420539000000005</v>
      </c>
      <c r="E21" s="16">
        <v>54.258181</v>
      </c>
      <c r="F21" s="16">
        <v>56.302886000000001</v>
      </c>
      <c r="G21" s="16">
        <v>55.927692999999998</v>
      </c>
      <c r="H21" s="16">
        <v>45.709718000000002</v>
      </c>
      <c r="I21" s="16">
        <v>44.887518999999998</v>
      </c>
      <c r="J21" s="16">
        <v>81.189678000000001</v>
      </c>
      <c r="K21" s="16">
        <v>51.523713000000001</v>
      </c>
      <c r="L21" s="16">
        <v>40.936610000000002</v>
      </c>
      <c r="M21" s="16">
        <v>48.268799739999999</v>
      </c>
      <c r="N21" s="6">
        <f>SUM(B21:M21)</f>
        <v>642.31885874</v>
      </c>
      <c r="P21" s="25" t="s">
        <v>2</v>
      </c>
      <c r="Q21" s="16">
        <v>6.6594439999999997</v>
      </c>
      <c r="R21" s="16">
        <v>8.0201609999999999</v>
      </c>
      <c r="S21" s="16">
        <v>12.075029000000001</v>
      </c>
      <c r="T21" s="16">
        <v>6.3767100000000001</v>
      </c>
      <c r="U21" s="16">
        <v>6.7387269999999999</v>
      </c>
      <c r="V21" s="16">
        <v>9.4022459999999999</v>
      </c>
      <c r="W21" s="16">
        <v>9.9030369999999994</v>
      </c>
      <c r="X21" s="16">
        <v>13.255978000000001</v>
      </c>
      <c r="Y21" s="16">
        <v>23.938389999999998</v>
      </c>
      <c r="Z21" s="16">
        <v>2.7082470000000001</v>
      </c>
      <c r="AA21" s="16">
        <v>9.4037989999999994</v>
      </c>
      <c r="AB21" s="16">
        <v>19.423633250000002</v>
      </c>
      <c r="AC21" s="6">
        <f>SUM(Q21:AB21)</f>
        <v>127.90540124999998</v>
      </c>
    </row>
    <row r="22" spans="1:29">
      <c r="A22" s="25" t="s">
        <v>3</v>
      </c>
      <c r="B22" s="17">
        <v>47.019658999999997</v>
      </c>
      <c r="C22" s="17">
        <v>50.567650999999998</v>
      </c>
      <c r="D22" s="17">
        <v>40.925879999999999</v>
      </c>
      <c r="E22" s="17">
        <v>49.113537999999998</v>
      </c>
      <c r="F22" s="17">
        <v>68.692957000000007</v>
      </c>
      <c r="G22" s="17">
        <v>65.809757000000005</v>
      </c>
      <c r="H22" s="17">
        <v>70.380155000000002</v>
      </c>
      <c r="I22" s="17">
        <v>73.315276999999995</v>
      </c>
      <c r="J22" s="17">
        <v>82.980163000000005</v>
      </c>
      <c r="K22" s="17">
        <v>73.957436000000001</v>
      </c>
      <c r="L22" s="17">
        <v>83.798698000000002</v>
      </c>
      <c r="M22" s="17">
        <v>80.291174999999996</v>
      </c>
      <c r="N22" s="7">
        <f>SUM(B22:M22)</f>
        <v>786.85234600000001</v>
      </c>
      <c r="P22" s="25" t="s">
        <v>3</v>
      </c>
      <c r="Q22" s="17">
        <v>6.8330250000000001</v>
      </c>
      <c r="R22" s="17">
        <v>6.3305249999999997</v>
      </c>
      <c r="S22" s="17">
        <v>6.392055</v>
      </c>
      <c r="T22" s="17">
        <v>14.995526999999999</v>
      </c>
      <c r="U22" s="17">
        <v>6.8988930000000002</v>
      </c>
      <c r="V22" s="17">
        <v>6.8638909999999997</v>
      </c>
      <c r="W22" s="17">
        <v>7.2796260000000004</v>
      </c>
      <c r="X22" s="17">
        <v>7.1685429999999997</v>
      </c>
      <c r="Y22" s="17">
        <v>6.3467929999999999</v>
      </c>
      <c r="Z22" s="17">
        <v>18.893833000000001</v>
      </c>
      <c r="AA22" s="17">
        <v>18.50994</v>
      </c>
      <c r="AB22" s="17">
        <v>18.884689999999999</v>
      </c>
      <c r="AC22" s="7">
        <f>SUM(Q22:AB22)</f>
        <v>125.39734100000001</v>
      </c>
    </row>
    <row r="23" spans="1:29">
      <c r="A23" s="25" t="s">
        <v>10</v>
      </c>
      <c r="B23" s="8">
        <f t="shared" ref="B23:M23" si="16">B22*0.02</f>
        <v>0.94039317999999994</v>
      </c>
      <c r="C23" s="8">
        <f t="shared" si="16"/>
        <v>1.01135302</v>
      </c>
      <c r="D23" s="8">
        <f t="shared" si="16"/>
        <v>0.81851759999999996</v>
      </c>
      <c r="E23" s="8">
        <f t="shared" si="16"/>
        <v>0.98227076000000002</v>
      </c>
      <c r="F23" s="8">
        <f t="shared" si="16"/>
        <v>1.3738591400000002</v>
      </c>
      <c r="G23" s="8">
        <f t="shared" si="16"/>
        <v>1.31619514</v>
      </c>
      <c r="H23" s="8">
        <f t="shared" si="16"/>
        <v>1.4076031</v>
      </c>
      <c r="I23" s="8">
        <f t="shared" si="16"/>
        <v>1.46630554</v>
      </c>
      <c r="J23" s="8">
        <f t="shared" si="16"/>
        <v>1.6596032600000001</v>
      </c>
      <c r="K23" s="8">
        <f t="shared" si="16"/>
        <v>1.47914872</v>
      </c>
      <c r="L23" s="8">
        <f t="shared" si="16"/>
        <v>1.6759739600000001</v>
      </c>
      <c r="M23" s="8">
        <f t="shared" si="16"/>
        <v>1.6058234999999998</v>
      </c>
      <c r="N23" s="7">
        <f>SUM(B23:M23)</f>
        <v>15.737046920000001</v>
      </c>
      <c r="P23" s="25" t="s">
        <v>10</v>
      </c>
      <c r="Q23" s="8">
        <f t="shared" ref="Q23:AB23" si="17">Q22*0.02</f>
        <v>0.13666050000000002</v>
      </c>
      <c r="R23" s="8">
        <f t="shared" si="17"/>
        <v>0.12661049999999999</v>
      </c>
      <c r="S23" s="8">
        <f t="shared" si="17"/>
        <v>0.12784110000000001</v>
      </c>
      <c r="T23" s="8">
        <f t="shared" si="17"/>
        <v>0.29991054</v>
      </c>
      <c r="U23" s="8">
        <f t="shared" si="17"/>
        <v>0.13797786000000001</v>
      </c>
      <c r="V23" s="8">
        <f t="shared" si="17"/>
        <v>0.13727781999999999</v>
      </c>
      <c r="W23" s="8">
        <f t="shared" si="17"/>
        <v>0.14559252</v>
      </c>
      <c r="X23" s="8">
        <f t="shared" si="17"/>
        <v>0.14337085999999999</v>
      </c>
      <c r="Y23" s="8">
        <f t="shared" si="17"/>
        <v>0.12693586000000001</v>
      </c>
      <c r="Z23" s="8">
        <f t="shared" si="17"/>
        <v>0.37787666000000003</v>
      </c>
      <c r="AA23" s="8">
        <f t="shared" si="17"/>
        <v>0.37019879999999999</v>
      </c>
      <c r="AB23" s="8">
        <f t="shared" si="17"/>
        <v>0.37769379999999997</v>
      </c>
      <c r="AC23" s="7">
        <f>SUM(Q23:AB23)</f>
        <v>2.5079468199999999</v>
      </c>
    </row>
    <row r="24" spans="1:29">
      <c r="A24" s="27" t="s">
        <v>4</v>
      </c>
      <c r="B24" s="9">
        <f>B21</f>
        <v>37.470523999999997</v>
      </c>
      <c r="C24" s="9">
        <f t="shared" ref="C24:M24" si="18">B24+C21</f>
        <v>91.89352199999999</v>
      </c>
      <c r="D24" s="9">
        <f t="shared" si="18"/>
        <v>163.31406099999998</v>
      </c>
      <c r="E24" s="9">
        <f t="shared" si="18"/>
        <v>217.57224199999999</v>
      </c>
      <c r="F24" s="9">
        <f t="shared" si="18"/>
        <v>273.87512800000002</v>
      </c>
      <c r="G24" s="9">
        <f t="shared" si="18"/>
        <v>329.80282099999999</v>
      </c>
      <c r="H24" s="9">
        <f t="shared" si="18"/>
        <v>375.512539</v>
      </c>
      <c r="I24" s="9">
        <f t="shared" si="18"/>
        <v>420.400058</v>
      </c>
      <c r="J24" s="9">
        <f t="shared" si="18"/>
        <v>501.58973600000002</v>
      </c>
      <c r="K24" s="9">
        <f t="shared" si="18"/>
        <v>553.11344900000006</v>
      </c>
      <c r="L24" s="9">
        <f t="shared" si="18"/>
        <v>594.05005900000003</v>
      </c>
      <c r="M24" s="9">
        <f t="shared" si="18"/>
        <v>642.31885874</v>
      </c>
      <c r="N24" s="10">
        <f>M24</f>
        <v>642.31885874</v>
      </c>
      <c r="P24" s="27" t="s">
        <v>4</v>
      </c>
      <c r="Q24" s="9">
        <f>Q21</f>
        <v>6.6594439999999997</v>
      </c>
      <c r="R24" s="9">
        <f t="shared" ref="R24:AB24" si="19">Q24+R21</f>
        <v>14.679604999999999</v>
      </c>
      <c r="S24" s="9">
        <f t="shared" si="19"/>
        <v>26.754633999999999</v>
      </c>
      <c r="T24" s="9">
        <f t="shared" si="19"/>
        <v>33.131343999999999</v>
      </c>
      <c r="U24" s="9">
        <f t="shared" si="19"/>
        <v>39.870070999999996</v>
      </c>
      <c r="V24" s="9">
        <f t="shared" si="19"/>
        <v>49.272316999999994</v>
      </c>
      <c r="W24" s="9">
        <f t="shared" si="19"/>
        <v>59.175353999999992</v>
      </c>
      <c r="X24" s="9">
        <f t="shared" si="19"/>
        <v>72.431331999999998</v>
      </c>
      <c r="Y24" s="9">
        <f t="shared" si="19"/>
        <v>96.369721999999996</v>
      </c>
      <c r="Z24" s="9">
        <f t="shared" si="19"/>
        <v>99.077968999999996</v>
      </c>
      <c r="AA24" s="9">
        <f t="shared" si="19"/>
        <v>108.48176799999999</v>
      </c>
      <c r="AB24" s="9">
        <f t="shared" si="19"/>
        <v>127.90540124999998</v>
      </c>
      <c r="AC24" s="10">
        <f>AB24</f>
        <v>127.90540124999998</v>
      </c>
    </row>
    <row r="25" spans="1:29">
      <c r="A25" s="25" t="s">
        <v>5</v>
      </c>
      <c r="B25" s="11">
        <f>SUM(B22:B23)</f>
        <v>47.960052179999998</v>
      </c>
      <c r="C25" s="11">
        <f t="shared" ref="C25:M25" si="20">B25+SUM(C22:C23)</f>
        <v>99.539056200000005</v>
      </c>
      <c r="D25" s="11">
        <f t="shared" si="20"/>
        <v>141.28345380000002</v>
      </c>
      <c r="E25" s="11">
        <f t="shared" si="20"/>
        <v>191.37926256000003</v>
      </c>
      <c r="F25" s="11">
        <f t="shared" si="20"/>
        <v>261.44607870000004</v>
      </c>
      <c r="G25" s="11">
        <f t="shared" si="20"/>
        <v>328.57203084000002</v>
      </c>
      <c r="H25" s="11">
        <f t="shared" si="20"/>
        <v>400.35978894000004</v>
      </c>
      <c r="I25" s="11">
        <f t="shared" si="20"/>
        <v>475.14137148000003</v>
      </c>
      <c r="J25" s="11">
        <f t="shared" si="20"/>
        <v>559.78113774000008</v>
      </c>
      <c r="K25" s="11">
        <f t="shared" si="20"/>
        <v>635.21772246000012</v>
      </c>
      <c r="L25" s="11">
        <f t="shared" si="20"/>
        <v>720.69239442000014</v>
      </c>
      <c r="M25" s="11">
        <f t="shared" si="20"/>
        <v>802.58939292000014</v>
      </c>
      <c r="N25" s="12">
        <f>SUM(N22:N23)</f>
        <v>802.58939292000002</v>
      </c>
      <c r="P25" s="25" t="s">
        <v>5</v>
      </c>
      <c r="Q25" s="11">
        <f>SUM(Q22:Q23)</f>
        <v>6.9696854999999998</v>
      </c>
      <c r="R25" s="11">
        <f t="shared" ref="R25:AB25" si="21">Q25+SUM(R22:R23)</f>
        <v>13.426821</v>
      </c>
      <c r="S25" s="11">
        <f t="shared" si="21"/>
        <v>19.946717100000001</v>
      </c>
      <c r="T25" s="11">
        <f t="shared" si="21"/>
        <v>35.242154640000003</v>
      </c>
      <c r="U25" s="11">
        <f t="shared" si="21"/>
        <v>42.279025500000003</v>
      </c>
      <c r="V25" s="11">
        <f t="shared" si="21"/>
        <v>49.280194320000007</v>
      </c>
      <c r="W25" s="11">
        <f t="shared" si="21"/>
        <v>56.705412840000008</v>
      </c>
      <c r="X25" s="11">
        <f t="shared" si="21"/>
        <v>64.017326700000012</v>
      </c>
      <c r="Y25" s="11">
        <f t="shared" si="21"/>
        <v>70.491055560000007</v>
      </c>
      <c r="Z25" s="11">
        <f t="shared" si="21"/>
        <v>89.762765220000006</v>
      </c>
      <c r="AA25" s="11">
        <f t="shared" si="21"/>
        <v>108.64290402</v>
      </c>
      <c r="AB25" s="11">
        <f t="shared" si="21"/>
        <v>127.90528782</v>
      </c>
      <c r="AC25" s="12">
        <f>SUM(AC22:AC23)</f>
        <v>127.90528782000001</v>
      </c>
    </row>
    <row r="26" spans="1:29">
      <c r="A26" s="25" t="s">
        <v>6</v>
      </c>
      <c r="B26" s="13">
        <f t="shared" ref="B26:M26" si="22">B24/$N$25</f>
        <v>4.668704113279374E-2</v>
      </c>
      <c r="C26" s="13">
        <f t="shared" si="22"/>
        <v>0.11449630758970133</v>
      </c>
      <c r="D26" s="13">
        <f t="shared" si="22"/>
        <v>0.2034839513712321</v>
      </c>
      <c r="E26" s="13">
        <f t="shared" si="22"/>
        <v>0.27108786126418072</v>
      </c>
      <c r="F26" s="13">
        <f t="shared" si="22"/>
        <v>0.34123940637139616</v>
      </c>
      <c r="G26" s="13">
        <f t="shared" si="22"/>
        <v>0.41092347333435775</v>
      </c>
      <c r="H26" s="13">
        <f t="shared" si="22"/>
        <v>0.46787627934353987</v>
      </c>
      <c r="I26" s="13">
        <f t="shared" si="22"/>
        <v>0.52380465242692831</v>
      </c>
      <c r="J26" s="13">
        <f t="shared" si="22"/>
        <v>0.62496432226085641</v>
      </c>
      <c r="K26" s="13">
        <f t="shared" si="22"/>
        <v>0.68916117491616657</v>
      </c>
      <c r="L26" s="13">
        <f t="shared" si="22"/>
        <v>0.74016684526406817</v>
      </c>
      <c r="M26" s="13">
        <f t="shared" si="22"/>
        <v>0.80030818299641371</v>
      </c>
      <c r="N26" s="1"/>
      <c r="P26" s="25" t="s">
        <v>6</v>
      </c>
      <c r="Q26" s="13">
        <f t="shared" ref="Q26:AB26" si="23">Q24/$AC$25</f>
        <v>5.2065431488428973E-2</v>
      </c>
      <c r="R26" s="13">
        <f t="shared" si="23"/>
        <v>0.11476933635971702</v>
      </c>
      <c r="S26" s="13">
        <f t="shared" si="23"/>
        <v>0.2091753551084734</v>
      </c>
      <c r="T26" s="13">
        <f t="shared" si="23"/>
        <v>0.25903029159064517</v>
      </c>
      <c r="U26" s="13">
        <f t="shared" si="23"/>
        <v>0.3117155801729542</v>
      </c>
      <c r="V26" s="13">
        <f t="shared" si="23"/>
        <v>0.38522501954212007</v>
      </c>
      <c r="W26" s="13">
        <f t="shared" si="23"/>
        <v>0.46264978570140858</v>
      </c>
      <c r="X26" s="13">
        <f t="shared" si="23"/>
        <v>0.56628880036556406</v>
      </c>
      <c r="Y26" s="13">
        <f t="shared" si="23"/>
        <v>0.7534459571024168</v>
      </c>
      <c r="Z26" s="13">
        <f t="shared" si="23"/>
        <v>0.77461980414313714</v>
      </c>
      <c r="AA26" s="13">
        <f t="shared" si="23"/>
        <v>0.84814138530899075</v>
      </c>
      <c r="AB26" s="13">
        <f t="shared" si="23"/>
        <v>1.0000008868280734</v>
      </c>
      <c r="AC26" s="1"/>
    </row>
    <row r="27" spans="1:2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29">
      <c r="A28" s="22" t="s">
        <v>21</v>
      </c>
      <c r="B28" s="23">
        <v>45474</v>
      </c>
      <c r="C28" s="23">
        <v>45505</v>
      </c>
      <c r="D28" s="23">
        <v>45536</v>
      </c>
      <c r="E28" s="23">
        <v>45566</v>
      </c>
      <c r="F28" s="23">
        <v>45597</v>
      </c>
      <c r="G28" s="23">
        <v>45627</v>
      </c>
      <c r="H28" s="23">
        <v>45658</v>
      </c>
      <c r="I28" s="23">
        <v>45689</v>
      </c>
      <c r="J28" s="23">
        <v>45717</v>
      </c>
      <c r="K28" s="23">
        <v>45748</v>
      </c>
      <c r="L28" s="23">
        <v>45778</v>
      </c>
      <c r="M28" s="23">
        <v>45809</v>
      </c>
      <c r="N28" s="24"/>
      <c r="P28" s="22" t="s">
        <v>22</v>
      </c>
      <c r="Q28" s="23">
        <v>45474</v>
      </c>
      <c r="R28" s="23">
        <v>45505</v>
      </c>
      <c r="S28" s="23">
        <v>45536</v>
      </c>
      <c r="T28" s="23">
        <v>45566</v>
      </c>
      <c r="U28" s="23">
        <v>45597</v>
      </c>
      <c r="V28" s="23">
        <v>45627</v>
      </c>
      <c r="W28" s="23">
        <v>45658</v>
      </c>
      <c r="X28" s="23">
        <v>45689</v>
      </c>
      <c r="Y28" s="23">
        <v>45717</v>
      </c>
      <c r="Z28" s="23">
        <v>45748</v>
      </c>
      <c r="AA28" s="23">
        <v>45778</v>
      </c>
      <c r="AB28" s="23">
        <v>45809</v>
      </c>
      <c r="AC28" s="24"/>
    </row>
    <row r="29" spans="1:29">
      <c r="A29" s="25" t="s">
        <v>2</v>
      </c>
      <c r="B29" s="17">
        <v>41.360760079999999</v>
      </c>
      <c r="C29" s="17">
        <v>38.898752420000001</v>
      </c>
      <c r="D29" s="36">
        <v>64.497783479999995</v>
      </c>
      <c r="E29" s="36">
        <v>48.444670289999998</v>
      </c>
      <c r="F29" s="36">
        <v>63.916048310000001</v>
      </c>
      <c r="G29" s="36">
        <v>91.832043330000005</v>
      </c>
      <c r="H29" s="36">
        <v>45.847018179999999</v>
      </c>
      <c r="I29" s="36">
        <v>25.290361319999999</v>
      </c>
      <c r="J29" s="36">
        <v>62.120558389999999</v>
      </c>
      <c r="K29" s="36">
        <v>38.718011320000002</v>
      </c>
      <c r="L29" s="17">
        <v>66.619957689999993</v>
      </c>
      <c r="M29" s="17">
        <v>96.509311150000002</v>
      </c>
      <c r="N29" s="6">
        <f>SUM(B29:M29)</f>
        <v>684.0552759599999</v>
      </c>
      <c r="P29" s="25" t="s">
        <v>2</v>
      </c>
      <c r="Q29" s="37">
        <v>14.55685783</v>
      </c>
      <c r="R29" s="37">
        <v>4.1863791800000003</v>
      </c>
      <c r="S29" s="37">
        <v>9.3273995900000006</v>
      </c>
      <c r="T29" s="37">
        <v>9.2088455600000003</v>
      </c>
      <c r="U29" s="37">
        <v>7.9767235400000001</v>
      </c>
      <c r="V29" s="37">
        <v>7.9902954500000005</v>
      </c>
      <c r="W29" s="37">
        <v>12.60388897</v>
      </c>
      <c r="X29" s="37">
        <v>6.9288301500000005</v>
      </c>
      <c r="Y29" s="37">
        <v>9.9633209800000007</v>
      </c>
      <c r="Z29" s="37">
        <v>9.9406498400000007</v>
      </c>
      <c r="AA29" s="37">
        <v>13.000118960000002</v>
      </c>
      <c r="AB29" s="37">
        <v>19.912972889999999</v>
      </c>
      <c r="AC29" s="6">
        <f>SUM(Q29:AB29)</f>
        <v>125.59628294000001</v>
      </c>
    </row>
    <row r="30" spans="1:29">
      <c r="A30" s="25" t="s">
        <v>3</v>
      </c>
      <c r="B30" s="17">
        <v>61.603430046032777</v>
      </c>
      <c r="C30" s="17">
        <v>73.211490269999999</v>
      </c>
      <c r="D30" s="36">
        <v>76.543210534384386</v>
      </c>
      <c r="E30" s="36">
        <v>97.724710800302745</v>
      </c>
      <c r="F30" s="36">
        <v>90.526450448126056</v>
      </c>
      <c r="G30" s="36">
        <v>88.14601921748654</v>
      </c>
      <c r="H30" s="36">
        <v>94.449697448974774</v>
      </c>
      <c r="I30" s="36">
        <v>117.09643379644777</v>
      </c>
      <c r="J30" s="36">
        <v>123.95266524706543</v>
      </c>
      <c r="K30" s="36">
        <v>119.58130362358031</v>
      </c>
      <c r="L30" s="17">
        <v>115.75966830573103</v>
      </c>
      <c r="M30" s="17">
        <v>124.89234591366379</v>
      </c>
      <c r="N30" s="7">
        <f>SUM(B30:M30)</f>
        <v>1183.4874256517955</v>
      </c>
      <c r="P30" s="25" t="s">
        <v>3</v>
      </c>
      <c r="Q30" s="36">
        <v>15.9832099</v>
      </c>
      <c r="R30" s="36">
        <v>7.9832099000000003</v>
      </c>
      <c r="S30" s="36">
        <v>7.9832099000000003</v>
      </c>
      <c r="T30" s="36">
        <v>8.9150074499999992</v>
      </c>
      <c r="U30" s="36">
        <v>9.1650074499999992</v>
      </c>
      <c r="V30" s="36">
        <v>9.3205956899999993</v>
      </c>
      <c r="W30" s="36">
        <v>11.055252789999999</v>
      </c>
      <c r="X30" s="36">
        <v>8.7470907899999997</v>
      </c>
      <c r="Y30" s="36">
        <v>8.7470907899999997</v>
      </c>
      <c r="Z30" s="36">
        <v>7.8012489199999999</v>
      </c>
      <c r="AA30" s="36">
        <v>7.8012489199999999</v>
      </c>
      <c r="AB30" s="36">
        <v>19.301248920000003</v>
      </c>
      <c r="AC30" s="7">
        <f>SUM(Q30:AB30)</f>
        <v>122.80342142000002</v>
      </c>
    </row>
    <row r="31" spans="1:29">
      <c r="A31" s="25" t="s">
        <v>10</v>
      </c>
      <c r="B31" s="8">
        <f t="shared" ref="B31:M31" si="24">B30*0.02</f>
        <v>1.2320686009206556</v>
      </c>
      <c r="C31" s="8">
        <f t="shared" si="24"/>
        <v>1.4642298054</v>
      </c>
      <c r="D31" s="8">
        <f t="shared" si="24"/>
        <v>1.5308642106876877</v>
      </c>
      <c r="E31" s="8">
        <f t="shared" si="24"/>
        <v>1.954494216006055</v>
      </c>
      <c r="F31" s="8">
        <f t="shared" si="24"/>
        <v>1.8105290089625212</v>
      </c>
      <c r="G31" s="8">
        <f t="shared" si="24"/>
        <v>1.7629203843497308</v>
      </c>
      <c r="H31" s="8">
        <f t="shared" si="24"/>
        <v>1.8889939489794956</v>
      </c>
      <c r="I31" s="8">
        <f t="shared" si="24"/>
        <v>2.3419286759289553</v>
      </c>
      <c r="J31" s="8">
        <f t="shared" si="24"/>
        <v>2.4790533049413086</v>
      </c>
      <c r="K31" s="8">
        <f t="shared" si="24"/>
        <v>2.3916260724716061</v>
      </c>
      <c r="L31" s="8">
        <f t="shared" si="24"/>
        <v>2.3151933661146207</v>
      </c>
      <c r="M31" s="8">
        <f t="shared" si="24"/>
        <v>2.4978469182732757</v>
      </c>
      <c r="N31" s="7">
        <f>SUM(B31:M31)</f>
        <v>23.669748513035913</v>
      </c>
      <c r="P31" s="25" t="s">
        <v>10</v>
      </c>
      <c r="Q31" s="8">
        <f t="shared" ref="Q31:AB31" si="25">Q30*0.02</f>
        <v>0.31966419800000001</v>
      </c>
      <c r="R31" s="8">
        <f t="shared" si="25"/>
        <v>0.15966419800000001</v>
      </c>
      <c r="S31" s="8">
        <f t="shared" si="25"/>
        <v>0.15966419800000001</v>
      </c>
      <c r="T31" s="8">
        <f t="shared" si="25"/>
        <v>0.17830014899999999</v>
      </c>
      <c r="U31" s="8">
        <f t="shared" si="25"/>
        <v>0.183300149</v>
      </c>
      <c r="V31" s="8">
        <f t="shared" si="25"/>
        <v>0.1864119138</v>
      </c>
      <c r="W31" s="8">
        <f t="shared" si="25"/>
        <v>0.22110505579999998</v>
      </c>
      <c r="X31" s="8">
        <f t="shared" si="25"/>
        <v>0.17494181579999998</v>
      </c>
      <c r="Y31" s="8">
        <f t="shared" si="25"/>
        <v>0.17494181579999998</v>
      </c>
      <c r="Z31" s="8">
        <f t="shared" si="25"/>
        <v>0.15602497840000001</v>
      </c>
      <c r="AA31" s="8">
        <f t="shared" si="25"/>
        <v>0.15602497840000001</v>
      </c>
      <c r="AB31" s="8">
        <f t="shared" si="25"/>
        <v>0.38602497840000005</v>
      </c>
      <c r="AC31" s="7">
        <f>SUM(Q31:AB31)</f>
        <v>2.4560684284000001</v>
      </c>
    </row>
    <row r="32" spans="1:29">
      <c r="A32" s="27" t="s">
        <v>4</v>
      </c>
      <c r="B32" s="9">
        <f>B29</f>
        <v>41.360760079999999</v>
      </c>
      <c r="C32" s="9">
        <f t="shared" ref="C32:M32" si="26">B32+C29</f>
        <v>80.2595125</v>
      </c>
      <c r="D32" s="9">
        <f t="shared" si="26"/>
        <v>144.75729597999998</v>
      </c>
      <c r="E32" s="9">
        <f t="shared" si="26"/>
        <v>193.20196626999999</v>
      </c>
      <c r="F32" s="9">
        <f t="shared" si="26"/>
        <v>257.11801457999997</v>
      </c>
      <c r="G32" s="9">
        <f t="shared" si="26"/>
        <v>348.95005790999994</v>
      </c>
      <c r="H32" s="9">
        <f t="shared" si="26"/>
        <v>394.79707608999996</v>
      </c>
      <c r="I32" s="9">
        <f t="shared" si="26"/>
        <v>420.08743740999995</v>
      </c>
      <c r="J32" s="9">
        <f t="shared" si="26"/>
        <v>482.20799579999994</v>
      </c>
      <c r="K32" s="9">
        <f t="shared" si="26"/>
        <v>520.92600711999989</v>
      </c>
      <c r="L32" s="9">
        <f t="shared" si="26"/>
        <v>587.54596480999987</v>
      </c>
      <c r="M32" s="9">
        <f t="shared" si="26"/>
        <v>684.0552759599999</v>
      </c>
      <c r="N32" s="10">
        <f>M32</f>
        <v>684.0552759599999</v>
      </c>
      <c r="P32" s="27" t="s">
        <v>4</v>
      </c>
      <c r="Q32" s="9">
        <f>Q29</f>
        <v>14.55685783</v>
      </c>
      <c r="R32" s="9">
        <f t="shared" ref="R32:AB32" si="27">Q32+R29</f>
        <v>18.743237010000001</v>
      </c>
      <c r="S32" s="9">
        <f t="shared" si="27"/>
        <v>28.0706366</v>
      </c>
      <c r="T32" s="9">
        <f t="shared" si="27"/>
        <v>37.279482160000001</v>
      </c>
      <c r="U32" s="9">
        <f t="shared" si="27"/>
        <v>45.256205700000002</v>
      </c>
      <c r="V32" s="9">
        <f t="shared" si="27"/>
        <v>53.24650115</v>
      </c>
      <c r="W32" s="9">
        <f t="shared" si="27"/>
        <v>65.85039012</v>
      </c>
      <c r="X32" s="9">
        <f t="shared" si="27"/>
        <v>72.779220269999996</v>
      </c>
      <c r="Y32" s="9">
        <f t="shared" si="27"/>
        <v>82.742541250000002</v>
      </c>
      <c r="Z32" s="9">
        <f t="shared" si="27"/>
        <v>92.683191090000008</v>
      </c>
      <c r="AA32" s="9">
        <f t="shared" si="27"/>
        <v>105.68331005000002</v>
      </c>
      <c r="AB32" s="9">
        <f t="shared" si="27"/>
        <v>125.59628294000001</v>
      </c>
      <c r="AC32" s="10">
        <f>AB32</f>
        <v>125.59628294000001</v>
      </c>
    </row>
    <row r="33" spans="1:29">
      <c r="A33" s="25" t="s">
        <v>5</v>
      </c>
      <c r="B33" s="11">
        <f>SUM(B30:B31)</f>
        <v>62.835498646953432</v>
      </c>
      <c r="C33" s="11">
        <f t="shared" ref="C33:M33" si="28">B33+SUM(C30:C31)</f>
        <v>137.51121872235342</v>
      </c>
      <c r="D33" s="11">
        <f t="shared" si="28"/>
        <v>215.58529346742549</v>
      </c>
      <c r="E33" s="11">
        <f t="shared" si="28"/>
        <v>315.26449848373431</v>
      </c>
      <c r="F33" s="11">
        <f t="shared" si="28"/>
        <v>407.60147794082286</v>
      </c>
      <c r="G33" s="11">
        <f t="shared" si="28"/>
        <v>497.51041754265913</v>
      </c>
      <c r="H33" s="11">
        <f t="shared" si="28"/>
        <v>593.84910894061341</v>
      </c>
      <c r="I33" s="11">
        <f t="shared" si="28"/>
        <v>713.28747141299016</v>
      </c>
      <c r="J33" s="11">
        <f t="shared" si="28"/>
        <v>839.71918996499687</v>
      </c>
      <c r="K33" s="11">
        <f t="shared" si="28"/>
        <v>961.69211966104876</v>
      </c>
      <c r="L33" s="11">
        <f t="shared" si="28"/>
        <v>1079.7669813328944</v>
      </c>
      <c r="M33" s="11">
        <f t="shared" si="28"/>
        <v>1207.1571741648315</v>
      </c>
      <c r="N33" s="12">
        <f>SUM(N30:N31)</f>
        <v>1207.1571741648315</v>
      </c>
      <c r="P33" s="25" t="s">
        <v>5</v>
      </c>
      <c r="Q33" s="11">
        <f>SUM(Q30:Q31)</f>
        <v>16.302874098</v>
      </c>
      <c r="R33" s="11">
        <f t="shared" ref="R33:AB33" si="29">Q33+SUM(R30:R31)</f>
        <v>24.445748196</v>
      </c>
      <c r="S33" s="11">
        <f t="shared" si="29"/>
        <v>32.588622294000004</v>
      </c>
      <c r="T33" s="11">
        <f t="shared" si="29"/>
        <v>41.681929893000003</v>
      </c>
      <c r="U33" s="11">
        <f t="shared" si="29"/>
        <v>51.030237492000005</v>
      </c>
      <c r="V33" s="11">
        <f t="shared" si="29"/>
        <v>60.537245095800003</v>
      </c>
      <c r="W33" s="11">
        <f t="shared" si="29"/>
        <v>71.81360294160001</v>
      </c>
      <c r="X33" s="11">
        <f t="shared" si="29"/>
        <v>80.735635547400008</v>
      </c>
      <c r="Y33" s="11">
        <f t="shared" si="29"/>
        <v>89.657668153200007</v>
      </c>
      <c r="Z33" s="11">
        <f t="shared" si="29"/>
        <v>97.614942051600011</v>
      </c>
      <c r="AA33" s="11">
        <f t="shared" si="29"/>
        <v>105.57221595000001</v>
      </c>
      <c r="AB33" s="11">
        <f t="shared" si="29"/>
        <v>125.25948984840002</v>
      </c>
      <c r="AC33" s="12">
        <f>SUM(AC30:AC31)</f>
        <v>125.25948984840002</v>
      </c>
    </row>
    <row r="34" spans="1:29" s="30" customFormat="1">
      <c r="A34" s="25" t="s">
        <v>6</v>
      </c>
      <c r="B34" s="13">
        <f t="shared" ref="B34:M34" si="30">B32/$N$33</f>
        <v>3.4262945178299031E-2</v>
      </c>
      <c r="C34" s="13">
        <f t="shared" si="30"/>
        <v>6.6486381572911021E-2</v>
      </c>
      <c r="D34" s="13">
        <f t="shared" si="30"/>
        <v>0.11991586437793399</v>
      </c>
      <c r="E34" s="13">
        <f t="shared" si="30"/>
        <v>0.1600470679418082</v>
      </c>
      <c r="F34" s="13">
        <f t="shared" si="30"/>
        <v>0.21299464567063223</v>
      </c>
      <c r="G34" s="13">
        <f t="shared" si="30"/>
        <v>0.28906762547422221</v>
      </c>
      <c r="H34" s="13">
        <f t="shared" si="30"/>
        <v>0.3270469534036769</v>
      </c>
      <c r="I34" s="13">
        <f t="shared" si="30"/>
        <v>0.3479973001035564</v>
      </c>
      <c r="J34" s="13">
        <f t="shared" si="30"/>
        <v>0.39945750737356489</v>
      </c>
      <c r="K34" s="13">
        <f t="shared" si="30"/>
        <v>0.4315312191889189</v>
      </c>
      <c r="L34" s="13">
        <f t="shared" si="30"/>
        <v>0.48671869528215495</v>
      </c>
      <c r="M34" s="13">
        <f t="shared" si="30"/>
        <v>0.56666628886438231</v>
      </c>
      <c r="N34" s="1"/>
      <c r="P34" s="25" t="s">
        <v>6</v>
      </c>
      <c r="Q34" s="13">
        <f t="shared" ref="Q34:AB34" si="31">Q32/$AC$33</f>
        <v>0.1162136126182374</v>
      </c>
      <c r="R34" s="13">
        <f t="shared" si="31"/>
        <v>0.14963526542128427</v>
      </c>
      <c r="S34" s="13">
        <f t="shared" si="31"/>
        <v>0.22409987964962605</v>
      </c>
      <c r="T34" s="13">
        <f t="shared" si="31"/>
        <v>0.29761802642752966</v>
      </c>
      <c r="U34" s="13">
        <f t="shared" si="31"/>
        <v>0.36129961693739143</v>
      </c>
      <c r="V34" s="13">
        <f t="shared" si="31"/>
        <v>0.42508955780071889</v>
      </c>
      <c r="W34" s="13">
        <f t="shared" si="31"/>
        <v>0.52571178598681745</v>
      </c>
      <c r="X34" s="13">
        <f t="shared" si="31"/>
        <v>0.58102759605746257</v>
      </c>
      <c r="Y34" s="13">
        <f t="shared" si="31"/>
        <v>0.66056904231481584</v>
      </c>
      <c r="Z34" s="13">
        <f t="shared" si="31"/>
        <v>0.73992949517975282</v>
      </c>
      <c r="AA34" s="13">
        <f t="shared" si="31"/>
        <v>0.84371499658754157</v>
      </c>
      <c r="AB34" s="13">
        <f t="shared" si="31"/>
        <v>1.0026887630790098</v>
      </c>
      <c r="AC34" s="1"/>
    </row>
    <row r="35" spans="1:29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:29">
      <c r="A36" s="22" t="s">
        <v>23</v>
      </c>
      <c r="B36" s="23">
        <v>45839</v>
      </c>
      <c r="C36" s="23">
        <v>45870</v>
      </c>
      <c r="D36" s="23">
        <v>45901</v>
      </c>
      <c r="E36" s="23">
        <v>45931</v>
      </c>
      <c r="F36" s="23">
        <v>45962</v>
      </c>
      <c r="G36" s="23">
        <v>45992</v>
      </c>
      <c r="H36" s="23">
        <v>46023</v>
      </c>
      <c r="I36" s="23">
        <v>46054</v>
      </c>
      <c r="J36" s="23">
        <v>46082</v>
      </c>
      <c r="K36" s="23">
        <v>46113</v>
      </c>
      <c r="L36" s="23">
        <v>46143</v>
      </c>
      <c r="M36" s="23">
        <v>46174</v>
      </c>
      <c r="N36" s="24"/>
      <c r="P36" s="22" t="s">
        <v>24</v>
      </c>
      <c r="Q36" s="23">
        <v>45839</v>
      </c>
      <c r="R36" s="23">
        <v>45870</v>
      </c>
      <c r="S36" s="23">
        <v>45901</v>
      </c>
      <c r="T36" s="23">
        <v>45931</v>
      </c>
      <c r="U36" s="23">
        <v>45962</v>
      </c>
      <c r="V36" s="23">
        <v>45992</v>
      </c>
      <c r="W36" s="23">
        <v>46023</v>
      </c>
      <c r="X36" s="23">
        <v>46054</v>
      </c>
      <c r="Y36" s="23">
        <v>46082</v>
      </c>
      <c r="Z36" s="23">
        <v>46113</v>
      </c>
      <c r="AA36" s="23">
        <v>46143</v>
      </c>
      <c r="AB36" s="23">
        <v>46174</v>
      </c>
      <c r="AC36" s="24"/>
    </row>
    <row r="37" spans="1:29">
      <c r="A37" s="25" t="s">
        <v>2</v>
      </c>
      <c r="B37" s="16">
        <v>51.68441121</v>
      </c>
      <c r="C37" s="16">
        <v>61.14492216</v>
      </c>
      <c r="D37" s="16">
        <v>73.874593000000004</v>
      </c>
      <c r="E37" s="16">
        <v>48.874904000000001</v>
      </c>
      <c r="F37" s="16">
        <v>55.813374000000003</v>
      </c>
      <c r="G37" s="16">
        <v>39.103432540003602</v>
      </c>
      <c r="H37" s="16">
        <v>42.982618819999999</v>
      </c>
      <c r="I37" s="16">
        <v>40.971010179999901</v>
      </c>
      <c r="J37" s="16">
        <v>39.080064999999998</v>
      </c>
      <c r="K37" s="16">
        <v>39.971854</v>
      </c>
      <c r="L37" s="16">
        <v>52.914433000000002</v>
      </c>
      <c r="M37" s="16">
        <v>-35.552841669999999</v>
      </c>
      <c r="N37" s="6">
        <f>SUM(B37:M37)</f>
        <v>510.86277624000354</v>
      </c>
      <c r="P37" s="25" t="s">
        <v>2</v>
      </c>
      <c r="Q37" s="16">
        <v>12.873985810000001</v>
      </c>
      <c r="R37" s="16">
        <v>13.06007327</v>
      </c>
      <c r="S37" s="16">
        <v>9.4519439999999992</v>
      </c>
      <c r="T37" s="16">
        <v>11.332163</v>
      </c>
      <c r="U37" s="16">
        <v>6.561814</v>
      </c>
      <c r="V37" s="16">
        <v>8.9185221300000102</v>
      </c>
      <c r="W37" s="16">
        <v>13.791101299999999</v>
      </c>
      <c r="X37" s="16">
        <v>14.826763890000001</v>
      </c>
      <c r="Y37" s="16">
        <v>11.924296</v>
      </c>
      <c r="Z37" s="16">
        <v>12.656129999999999</v>
      </c>
      <c r="AA37" s="16">
        <v>-16.833853999999999</v>
      </c>
      <c r="AB37" s="16">
        <v>25.53646539</v>
      </c>
      <c r="AC37" s="6">
        <f>SUM(Q37:AB37)</f>
        <v>124.09940479000001</v>
      </c>
    </row>
    <row r="38" spans="1:29">
      <c r="A38" s="25" t="s">
        <v>3</v>
      </c>
      <c r="B38" s="17">
        <v>61.603430000000003</v>
      </c>
      <c r="C38" s="17">
        <v>73.211489999999998</v>
      </c>
      <c r="D38" s="17">
        <v>76.543210999999999</v>
      </c>
      <c r="E38" s="17">
        <v>97.724710999999999</v>
      </c>
      <c r="F38" s="17">
        <v>90.526449999999997</v>
      </c>
      <c r="G38" s="17">
        <v>88.146018999999995</v>
      </c>
      <c r="H38" s="17">
        <v>94.449697</v>
      </c>
      <c r="I38" s="17">
        <v>117.096434</v>
      </c>
      <c r="J38" s="17">
        <v>123.952665</v>
      </c>
      <c r="K38" s="17">
        <v>119.581304</v>
      </c>
      <c r="L38" s="17">
        <v>115.759668</v>
      </c>
      <c r="M38" s="17">
        <v>124.892346</v>
      </c>
      <c r="N38" s="7">
        <f>SUM(B38:M38)</f>
        <v>1183.4874250000003</v>
      </c>
      <c r="P38" s="25" t="s">
        <v>3</v>
      </c>
      <c r="Q38" s="17">
        <v>13.567083333333334</v>
      </c>
      <c r="R38" s="17">
        <v>13.567083333333334</v>
      </c>
      <c r="S38" s="17">
        <v>13.567083333333334</v>
      </c>
      <c r="T38" s="17">
        <v>13.567083333333334</v>
      </c>
      <c r="U38" s="17">
        <v>13.567083333333334</v>
      </c>
      <c r="V38" s="17">
        <v>13.567083333333334</v>
      </c>
      <c r="W38" s="17">
        <v>16.442416666666666</v>
      </c>
      <c r="X38" s="17">
        <v>16.442416666666666</v>
      </c>
      <c r="Y38" s="17">
        <v>16.442416666666666</v>
      </c>
      <c r="Z38" s="17">
        <v>16.442416666666666</v>
      </c>
      <c r="AA38" s="17">
        <v>16.442416666666666</v>
      </c>
      <c r="AB38" s="17">
        <v>33.454356666666698</v>
      </c>
      <c r="AC38" s="7">
        <f>SUM(Q38:AB38)</f>
        <v>197.06894000000005</v>
      </c>
    </row>
    <row r="39" spans="1:29">
      <c r="A39" s="25" t="s">
        <v>46</v>
      </c>
      <c r="B39" s="8">
        <f t="shared" ref="B39:M39" si="32">B38*0.02</f>
        <v>1.2320686000000001</v>
      </c>
      <c r="C39" s="8">
        <f t="shared" si="32"/>
        <v>1.4642298</v>
      </c>
      <c r="D39" s="8">
        <f t="shared" si="32"/>
        <v>1.53086422</v>
      </c>
      <c r="E39" s="8">
        <f t="shared" si="32"/>
        <v>1.9544942199999999</v>
      </c>
      <c r="F39" s="8">
        <f t="shared" si="32"/>
        <v>1.8105290000000001</v>
      </c>
      <c r="G39" s="8">
        <f t="shared" si="32"/>
        <v>1.76292038</v>
      </c>
      <c r="H39" s="8">
        <f t="shared" si="32"/>
        <v>1.88899394</v>
      </c>
      <c r="I39" s="8">
        <f t="shared" si="32"/>
        <v>2.3419286800000001</v>
      </c>
      <c r="J39" s="8">
        <f t="shared" si="32"/>
        <v>2.4790532999999999</v>
      </c>
      <c r="K39" s="8">
        <f t="shared" si="32"/>
        <v>2.39162608</v>
      </c>
      <c r="L39" s="8">
        <f t="shared" si="32"/>
        <v>2.3151933600000003</v>
      </c>
      <c r="M39" s="8">
        <f t="shared" si="32"/>
        <v>2.4978469200000002</v>
      </c>
      <c r="N39" s="7">
        <f>SUM(B39:M39)</f>
        <v>23.669748500000004</v>
      </c>
      <c r="P39" s="25" t="s">
        <v>46</v>
      </c>
      <c r="Q39" s="8">
        <f t="shared" ref="Q39:AA39" si="33">Q38*0.02</f>
        <v>0.2713416666666667</v>
      </c>
      <c r="R39" s="8">
        <f t="shared" si="33"/>
        <v>0.2713416666666667</v>
      </c>
      <c r="S39" s="8">
        <f t="shared" si="33"/>
        <v>0.2713416666666667</v>
      </c>
      <c r="T39" s="8">
        <f t="shared" si="33"/>
        <v>0.2713416666666667</v>
      </c>
      <c r="U39" s="8">
        <f t="shared" si="33"/>
        <v>0.2713416666666667</v>
      </c>
      <c r="V39" s="8">
        <f t="shared" si="33"/>
        <v>0.2713416666666667</v>
      </c>
      <c r="W39" s="8">
        <f t="shared" si="33"/>
        <v>0.32884833333333335</v>
      </c>
      <c r="X39" s="8">
        <f t="shared" si="33"/>
        <v>0.32884833333333335</v>
      </c>
      <c r="Y39" s="8">
        <f t="shared" si="33"/>
        <v>0.32884833333333335</v>
      </c>
      <c r="Z39" s="8">
        <f t="shared" si="33"/>
        <v>0.32884833333333335</v>
      </c>
      <c r="AA39" s="8">
        <f t="shared" si="33"/>
        <v>0.32884833333333335</v>
      </c>
      <c r="AB39" s="8">
        <v>-1.63607631992131</v>
      </c>
      <c r="AC39" s="7">
        <f>SUM(Q39:AB39)</f>
        <v>1.6362153467453568</v>
      </c>
    </row>
    <row r="40" spans="1:29">
      <c r="A40" s="27" t="s">
        <v>4</v>
      </c>
      <c r="B40" s="9">
        <f>B37</f>
        <v>51.68441121</v>
      </c>
      <c r="C40" s="9">
        <f t="shared" ref="C40:M40" si="34">B40+C37</f>
        <v>112.82933337</v>
      </c>
      <c r="D40" s="9">
        <f t="shared" si="34"/>
        <v>186.70392637</v>
      </c>
      <c r="E40" s="9">
        <f t="shared" si="34"/>
        <v>235.57883036999999</v>
      </c>
      <c r="F40" s="9">
        <f t="shared" si="34"/>
        <v>291.39220437</v>
      </c>
      <c r="G40" s="9">
        <f t="shared" si="34"/>
        <v>330.49563691000361</v>
      </c>
      <c r="H40" s="9">
        <f t="shared" si="34"/>
        <v>373.47825573000364</v>
      </c>
      <c r="I40" s="9">
        <f t="shared" si="34"/>
        <v>414.44926591000353</v>
      </c>
      <c r="J40" s="9">
        <f t="shared" si="34"/>
        <v>453.52933091000352</v>
      </c>
      <c r="K40" s="9">
        <f t="shared" si="34"/>
        <v>493.50118491000353</v>
      </c>
      <c r="L40" s="9">
        <f t="shared" si="34"/>
        <v>546.41561791000356</v>
      </c>
      <c r="M40" s="9">
        <f t="shared" si="34"/>
        <v>510.86277624000354</v>
      </c>
      <c r="N40" s="10">
        <f>M40</f>
        <v>510.86277624000354</v>
      </c>
      <c r="P40" s="27" t="s">
        <v>4</v>
      </c>
      <c r="Q40" s="9">
        <f>Q37</f>
        <v>12.873985810000001</v>
      </c>
      <c r="R40" s="9">
        <f t="shared" ref="R40:AB40" si="35">Q40+R37</f>
        <v>25.934059080000001</v>
      </c>
      <c r="S40" s="9">
        <f t="shared" si="35"/>
        <v>35.386003080000002</v>
      </c>
      <c r="T40" s="9">
        <f t="shared" si="35"/>
        <v>46.718166080000003</v>
      </c>
      <c r="U40" s="9">
        <f t="shared" si="35"/>
        <v>53.279980080000001</v>
      </c>
      <c r="V40" s="9">
        <f t="shared" si="35"/>
        <v>62.198502210000015</v>
      </c>
      <c r="W40" s="9">
        <f t="shared" si="35"/>
        <v>75.989603510000009</v>
      </c>
      <c r="X40" s="9">
        <f t="shared" si="35"/>
        <v>90.816367400000004</v>
      </c>
      <c r="Y40" s="9">
        <f t="shared" si="35"/>
        <v>102.7406634</v>
      </c>
      <c r="Z40" s="9">
        <f t="shared" si="35"/>
        <v>115.39679340000001</v>
      </c>
      <c r="AA40" s="9">
        <f t="shared" si="35"/>
        <v>98.562939400000005</v>
      </c>
      <c r="AB40" s="9">
        <f t="shared" si="35"/>
        <v>124.09940479000001</v>
      </c>
      <c r="AC40" s="10">
        <f>AB40</f>
        <v>124.09940479000001</v>
      </c>
    </row>
    <row r="41" spans="1:29">
      <c r="A41" s="25" t="s">
        <v>5</v>
      </c>
      <c r="B41" s="11">
        <f>SUM(B38:B39)</f>
        <v>62.835498600000001</v>
      </c>
      <c r="C41" s="11">
        <f t="shared" ref="C41:M41" si="36">B41+SUM(C38:C39)</f>
        <v>137.51121839999999</v>
      </c>
      <c r="D41" s="11">
        <f t="shared" si="36"/>
        <v>215.58529361999999</v>
      </c>
      <c r="E41" s="11">
        <f t="shared" si="36"/>
        <v>315.26449883999999</v>
      </c>
      <c r="F41" s="11">
        <f t="shared" si="36"/>
        <v>407.60147783999997</v>
      </c>
      <c r="G41" s="11">
        <f t="shared" si="36"/>
        <v>497.51041721999997</v>
      </c>
      <c r="H41" s="11">
        <f t="shared" si="36"/>
        <v>593.84910816000001</v>
      </c>
      <c r="I41" s="11">
        <f t="shared" si="36"/>
        <v>713.28747083999997</v>
      </c>
      <c r="J41" s="11">
        <f t="shared" si="36"/>
        <v>839.71918914000003</v>
      </c>
      <c r="K41" s="11">
        <f t="shared" si="36"/>
        <v>961.69211922</v>
      </c>
      <c r="L41" s="11">
        <f t="shared" si="36"/>
        <v>1079.7669805800001</v>
      </c>
      <c r="M41" s="11">
        <f t="shared" si="36"/>
        <v>1207.1571735000002</v>
      </c>
      <c r="N41" s="12">
        <f>SUM(N38:N39)</f>
        <v>1207.1571735000002</v>
      </c>
      <c r="P41" s="25" t="s">
        <v>5</v>
      </c>
      <c r="Q41" s="11">
        <f>SUM(Q38:Q39)</f>
        <v>13.838425000000001</v>
      </c>
      <c r="R41" s="11">
        <f t="shared" ref="R41:AB41" si="37">Q41+SUM(R38:R39)</f>
        <v>27.676850000000002</v>
      </c>
      <c r="S41" s="11">
        <f t="shared" si="37"/>
        <v>41.515275000000003</v>
      </c>
      <c r="T41" s="11">
        <f t="shared" si="37"/>
        <v>55.353700000000003</v>
      </c>
      <c r="U41" s="11">
        <f t="shared" si="37"/>
        <v>69.192125000000004</v>
      </c>
      <c r="V41" s="11">
        <f t="shared" si="37"/>
        <v>83.030550000000005</v>
      </c>
      <c r="W41" s="11">
        <f t="shared" si="37"/>
        <v>99.801815000000005</v>
      </c>
      <c r="X41" s="11">
        <f t="shared" si="37"/>
        <v>116.57308</v>
      </c>
      <c r="Y41" s="11">
        <f t="shared" si="37"/>
        <v>133.344345</v>
      </c>
      <c r="Z41" s="11">
        <f t="shared" si="37"/>
        <v>150.11561</v>
      </c>
      <c r="AA41" s="11">
        <f t="shared" si="37"/>
        <v>166.886875</v>
      </c>
      <c r="AB41" s="11">
        <f t="shared" si="37"/>
        <v>198.70515534674539</v>
      </c>
      <c r="AC41" s="12">
        <f>SUM(AC38:AC39)</f>
        <v>198.70515534674541</v>
      </c>
    </row>
    <row r="42" spans="1:29">
      <c r="A42" s="25" t="s">
        <v>6</v>
      </c>
      <c r="B42" s="13">
        <f t="shared" ref="B42:M42" si="38">B40/$N$41</f>
        <v>4.2814980803326179E-2</v>
      </c>
      <c r="C42" s="13">
        <f t="shared" si="38"/>
        <v>9.3466978324674627E-2</v>
      </c>
      <c r="D42" s="13">
        <f t="shared" si="38"/>
        <v>0.15466414023674768</v>
      </c>
      <c r="E42" s="13">
        <f t="shared" si="38"/>
        <v>0.19515174621956546</v>
      </c>
      <c r="F42" s="13">
        <f t="shared" si="38"/>
        <v>0.24138712900586506</v>
      </c>
      <c r="G42" s="13">
        <f t="shared" si="38"/>
        <v>0.27378012090320691</v>
      </c>
      <c r="H42" s="13">
        <f t="shared" si="38"/>
        <v>0.30938660178537519</v>
      </c>
      <c r="I42" s="13">
        <f t="shared" si="38"/>
        <v>0.34332668107199338</v>
      </c>
      <c r="J42" s="13">
        <f t="shared" si="38"/>
        <v>0.37570031547346261</v>
      </c>
      <c r="K42" s="13">
        <f t="shared" si="38"/>
        <v>0.40881270123190255</v>
      </c>
      <c r="L42" s="13">
        <f t="shared" si="38"/>
        <v>0.4526466229130216</v>
      </c>
      <c r="M42" s="13">
        <f t="shared" si="38"/>
        <v>0.42319491401340992</v>
      </c>
      <c r="N42" s="58"/>
      <c r="P42" s="25" t="s">
        <v>6</v>
      </c>
      <c r="Q42" s="13">
        <f t="shared" ref="Q42:AB42" si="39">Q40/$AC$41</f>
        <v>6.4789390026316007E-2</v>
      </c>
      <c r="R42" s="13">
        <f t="shared" si="39"/>
        <v>0.13051528046539318</v>
      </c>
      <c r="S42" s="13">
        <f t="shared" si="39"/>
        <v>0.17808296427060763</v>
      </c>
      <c r="T42" s="13">
        <f t="shared" si="39"/>
        <v>0.23511300448383257</v>
      </c>
      <c r="U42" s="13">
        <f t="shared" si="39"/>
        <v>0.2681358719003798</v>
      </c>
      <c r="V42" s="13">
        <f t="shared" si="39"/>
        <v>0.3130190663722946</v>
      </c>
      <c r="W42" s="13">
        <f t="shared" si="39"/>
        <v>0.3824239153604056</v>
      </c>
      <c r="X42" s="13">
        <f t="shared" si="39"/>
        <v>0.45704082131902013</v>
      </c>
      <c r="Y42" s="13">
        <f t="shared" si="39"/>
        <v>0.5170508194450969</v>
      </c>
      <c r="Z42" s="13">
        <f t="shared" si="39"/>
        <v>0.5807438322303704</v>
      </c>
      <c r="AA42" s="13">
        <f t="shared" si="39"/>
        <v>0.4960260805916446</v>
      </c>
      <c r="AB42" s="13">
        <f t="shared" si="39"/>
        <v>0.62454043818562976</v>
      </c>
      <c r="AC42" s="1"/>
    </row>
    <row r="43" spans="1:29" customFormat="1"/>
    <row r="44" spans="1:29" customFormat="1"/>
    <row r="45" spans="1:29" customFormat="1"/>
    <row r="46" spans="1:29" customFormat="1"/>
    <row r="47" spans="1:29" customFormat="1"/>
    <row r="48" spans="1:29" customFormat="1"/>
    <row r="49" spans="1:29" customFormat="1"/>
    <row r="50" spans="1:29" customFormat="1"/>
    <row r="51" spans="1:29" customFormat="1"/>
    <row r="52" spans="1:29" customFormat="1"/>
    <row r="53" spans="1:29" customFormat="1"/>
    <row r="54" spans="1:29" customFormat="1"/>
    <row r="55" spans="1:29">
      <c r="A55" s="2" t="s">
        <v>0</v>
      </c>
      <c r="AC55" s="31"/>
    </row>
    <row r="56" spans="1:29">
      <c r="A56" s="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</row>
    <row r="57" spans="1:29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61" spans="1:29">
      <c r="D61" s="26" t="s">
        <v>0</v>
      </c>
      <c r="E61" s="28"/>
    </row>
    <row r="62" spans="1:29">
      <c r="D62" s="26" t="s">
        <v>0</v>
      </c>
    </row>
    <row r="63" spans="1:29">
      <c r="D63" s="70"/>
    </row>
  </sheetData>
  <mergeCells count="1">
    <mergeCell ref="A1:E1"/>
  </mergeCells>
  <pageMargins left="0.7" right="0.7" top="0.75" bottom="0.75" header="0.3" footer="0.3"/>
  <pageSetup orientation="portrait" r:id="rId1"/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C0C8E-8A9A-4956-880C-983630FE0215}">
  <sheetPr>
    <pageSetUpPr fitToPage="1"/>
  </sheetPr>
  <dimension ref="A1:BB112"/>
  <sheetViews>
    <sheetView workbookViewId="0">
      <selection activeCell="M31" sqref="M31"/>
    </sheetView>
  </sheetViews>
  <sheetFormatPr defaultColWidth="11.42578125" defaultRowHeight="15"/>
  <cols>
    <col min="1" max="1" width="25" style="20" customWidth="1"/>
    <col min="2" max="2" width="4" style="20" bestFit="1" customWidth="1"/>
    <col min="3" max="3" width="16" style="20" customWidth="1"/>
    <col min="4" max="4" width="14.5703125" style="20" bestFit="1" customWidth="1"/>
    <col min="5" max="5" width="13.5703125" style="20" bestFit="1" customWidth="1"/>
    <col min="6" max="6" width="14.5703125" style="20" bestFit="1" customWidth="1"/>
    <col min="7" max="8" width="13.5703125" style="20" bestFit="1" customWidth="1"/>
    <col min="9" max="10" width="16.5703125" style="20" bestFit="1" customWidth="1"/>
    <col min="11" max="11" width="14.140625" style="20" bestFit="1" customWidth="1"/>
    <col min="12" max="13" width="14.5703125" style="20" bestFit="1" customWidth="1"/>
    <col min="14" max="14" width="13.5703125" style="20" bestFit="1" customWidth="1"/>
    <col min="15" max="21" width="16.5703125" style="20" bestFit="1" customWidth="1"/>
    <col min="22" max="39" width="18" style="20" bestFit="1" customWidth="1"/>
    <col min="40" max="40" width="18" style="73" bestFit="1" customWidth="1"/>
    <col min="41" max="41" width="17.5703125" style="73" bestFit="1" customWidth="1"/>
    <col min="42" max="51" width="18" style="73" bestFit="1" customWidth="1"/>
    <col min="52" max="16384" width="11.42578125" style="20"/>
  </cols>
  <sheetData>
    <row r="1" spans="1:14" ht="21">
      <c r="A1" s="39" t="s">
        <v>48</v>
      </c>
      <c r="B1" s="40"/>
      <c r="C1" s="40"/>
      <c r="D1" s="41"/>
      <c r="E1" s="41"/>
    </row>
    <row r="2" spans="1:14">
      <c r="C2" s="72"/>
    </row>
    <row r="3" spans="1:14" ht="15.75" thickBot="1"/>
    <row r="4" spans="1:14">
      <c r="A4" s="18" t="s">
        <v>7</v>
      </c>
      <c r="B4" s="19"/>
      <c r="C4" s="56">
        <v>44378</v>
      </c>
      <c r="D4" s="56">
        <v>44409</v>
      </c>
      <c r="E4" s="56">
        <v>44440</v>
      </c>
      <c r="F4" s="56">
        <v>44470</v>
      </c>
      <c r="G4" s="56">
        <v>44501</v>
      </c>
      <c r="H4" s="56">
        <v>44531</v>
      </c>
      <c r="I4" s="56">
        <v>44562</v>
      </c>
      <c r="J4" s="56">
        <v>44593</v>
      </c>
      <c r="K4" s="56">
        <v>44621</v>
      </c>
      <c r="L4" s="56">
        <v>44652</v>
      </c>
      <c r="M4" s="56">
        <v>44682</v>
      </c>
      <c r="N4" s="57">
        <v>44713</v>
      </c>
    </row>
    <row r="5" spans="1:14">
      <c r="A5" s="42" t="s">
        <v>25</v>
      </c>
      <c r="B5" s="43">
        <v>132</v>
      </c>
      <c r="C5" s="44">
        <v>5264338.1399999997</v>
      </c>
      <c r="D5" s="44">
        <v>6357202.2400000002</v>
      </c>
      <c r="E5" s="44">
        <v>4367156.76</v>
      </c>
      <c r="F5" s="44">
        <v>7598400.0700000003</v>
      </c>
      <c r="G5" s="44">
        <v>6616314.8700000001</v>
      </c>
      <c r="H5" s="44">
        <v>6259672.8200000003</v>
      </c>
      <c r="I5" s="44">
        <v>5934788.6500000004</v>
      </c>
      <c r="J5" s="44">
        <v>6425385.0700000003</v>
      </c>
      <c r="K5" s="44">
        <v>-8972702.1300000008</v>
      </c>
      <c r="L5" s="44">
        <v>6697594.0300000003</v>
      </c>
      <c r="M5" s="44">
        <v>10090898.890000001</v>
      </c>
      <c r="N5" s="45">
        <v>9160520.1199999992</v>
      </c>
    </row>
    <row r="6" spans="1:14">
      <c r="A6" s="42" t="s">
        <v>26</v>
      </c>
      <c r="B6" s="43">
        <v>133</v>
      </c>
      <c r="C6" s="46">
        <v>522910.39</v>
      </c>
      <c r="D6" s="46">
        <v>604107.87</v>
      </c>
      <c r="E6" s="46">
        <v>408188.29</v>
      </c>
      <c r="F6" s="46">
        <v>628540.54</v>
      </c>
      <c r="G6" s="46">
        <v>425338.6</v>
      </c>
      <c r="H6" s="46">
        <v>828243.98</v>
      </c>
      <c r="I6" s="46">
        <v>516287.5</v>
      </c>
      <c r="J6" s="46">
        <v>204210.5</v>
      </c>
      <c r="K6" s="46">
        <v>106899.11</v>
      </c>
      <c r="L6" s="46">
        <v>108851.93</v>
      </c>
      <c r="M6" s="46">
        <v>-86399.08</v>
      </c>
      <c r="N6" s="47">
        <v>-3291498.9</v>
      </c>
    </row>
    <row r="7" spans="1:14" ht="16.5">
      <c r="A7" s="42" t="s">
        <v>27</v>
      </c>
      <c r="B7" s="43">
        <v>134</v>
      </c>
      <c r="C7" s="48">
        <v>1711788.37</v>
      </c>
      <c r="D7" s="48">
        <v>2079761.13</v>
      </c>
      <c r="E7" s="48">
        <v>1308229.05</v>
      </c>
      <c r="F7" s="48">
        <v>2113462.5299999998</v>
      </c>
      <c r="G7" s="48">
        <v>1870319.3</v>
      </c>
      <c r="H7" s="48">
        <v>1571271.87</v>
      </c>
      <c r="I7" s="48">
        <v>1638830.34</v>
      </c>
      <c r="J7" s="48">
        <v>1172239.28</v>
      </c>
      <c r="K7" s="48">
        <v>524966.23</v>
      </c>
      <c r="L7" s="48">
        <v>1240127.6599999999</v>
      </c>
      <c r="M7" s="48">
        <v>781272.57</v>
      </c>
      <c r="N7" s="49">
        <v>954837.95</v>
      </c>
    </row>
    <row r="8" spans="1:14">
      <c r="A8" t="s">
        <v>28</v>
      </c>
      <c r="B8" s="43"/>
      <c r="C8" s="3">
        <f>C6+C7</f>
        <v>2234698.7600000002</v>
      </c>
      <c r="D8" s="3">
        <f t="shared" ref="D8:N8" si="0">C8+D6+D7</f>
        <v>4918567.76</v>
      </c>
      <c r="E8" s="3">
        <f t="shared" si="0"/>
        <v>6634985.0999999996</v>
      </c>
      <c r="F8" s="3">
        <f t="shared" si="0"/>
        <v>9376988.1699999999</v>
      </c>
      <c r="G8" s="3">
        <f t="shared" si="0"/>
        <v>11672646.07</v>
      </c>
      <c r="H8" s="3">
        <f t="shared" si="0"/>
        <v>14072161.920000002</v>
      </c>
      <c r="I8" s="3">
        <f t="shared" si="0"/>
        <v>16227279.760000002</v>
      </c>
      <c r="J8" s="3">
        <f t="shared" si="0"/>
        <v>17603729.540000003</v>
      </c>
      <c r="K8" s="3">
        <f t="shared" si="0"/>
        <v>18235594.880000003</v>
      </c>
      <c r="L8" s="3">
        <f t="shared" si="0"/>
        <v>19584574.470000003</v>
      </c>
      <c r="M8" s="3">
        <f t="shared" si="0"/>
        <v>20279447.960000005</v>
      </c>
      <c r="N8" s="15">
        <f t="shared" si="0"/>
        <v>17942787.010000005</v>
      </c>
    </row>
    <row r="9" spans="1:14">
      <c r="A9" t="s">
        <v>29</v>
      </c>
      <c r="B9" s="43"/>
      <c r="C9" s="50">
        <f>C5</f>
        <v>5264338.1399999997</v>
      </c>
      <c r="D9" s="50">
        <f>C9+D5</f>
        <v>11621540.379999999</v>
      </c>
      <c r="E9" s="50">
        <f t="shared" ref="E9:N9" si="1">D9+E5</f>
        <v>15988697.139999999</v>
      </c>
      <c r="F9" s="50">
        <f t="shared" si="1"/>
        <v>23587097.210000001</v>
      </c>
      <c r="G9" s="50">
        <f t="shared" si="1"/>
        <v>30203412.080000002</v>
      </c>
      <c r="H9" s="50">
        <f t="shared" si="1"/>
        <v>36463084.900000006</v>
      </c>
      <c r="I9" s="50">
        <f t="shared" si="1"/>
        <v>42397873.550000004</v>
      </c>
      <c r="J9" s="50">
        <f t="shared" si="1"/>
        <v>48823258.620000005</v>
      </c>
      <c r="K9" s="50">
        <f t="shared" si="1"/>
        <v>39850556.490000002</v>
      </c>
      <c r="L9" s="50">
        <f t="shared" si="1"/>
        <v>46548150.520000003</v>
      </c>
      <c r="M9" s="50">
        <f t="shared" si="1"/>
        <v>56639049.410000004</v>
      </c>
      <c r="N9" s="51">
        <f t="shared" si="1"/>
        <v>65799569.530000001</v>
      </c>
    </row>
    <row r="10" spans="1:14" ht="15.75" thickBot="1">
      <c r="A10" s="52" t="s">
        <v>30</v>
      </c>
      <c r="B10" s="53"/>
      <c r="C10" s="54">
        <f>C8/C9</f>
        <v>0.4244975722627119</v>
      </c>
      <c r="D10" s="54">
        <f t="shared" ref="D10:N10" si="2">D8/D9</f>
        <v>0.42322855655731934</v>
      </c>
      <c r="E10" s="54">
        <f t="shared" si="2"/>
        <v>0.41497972235653968</v>
      </c>
      <c r="F10" s="54">
        <f t="shared" si="2"/>
        <v>0.39754735763010829</v>
      </c>
      <c r="G10" s="54">
        <f t="shared" si="2"/>
        <v>0.38646779506509316</v>
      </c>
      <c r="H10" s="54">
        <f t="shared" si="2"/>
        <v>0.38592900075769504</v>
      </c>
      <c r="I10" s="54">
        <f t="shared" si="2"/>
        <v>0.38273805739014477</v>
      </c>
      <c r="J10" s="54">
        <f t="shared" si="2"/>
        <v>0.36056031566866359</v>
      </c>
      <c r="K10" s="54">
        <f t="shared" si="2"/>
        <v>0.4575995039009304</v>
      </c>
      <c r="L10" s="54">
        <f t="shared" si="2"/>
        <v>0.42073797242675071</v>
      </c>
      <c r="M10" s="54">
        <f t="shared" si="2"/>
        <v>0.35804711009891227</v>
      </c>
      <c r="N10" s="55">
        <f t="shared" si="2"/>
        <v>0.27268851662957078</v>
      </c>
    </row>
    <row r="11" spans="1:14" ht="15.75" thickBot="1"/>
    <row r="12" spans="1:14">
      <c r="A12" s="18" t="s">
        <v>9</v>
      </c>
      <c r="B12" s="19"/>
      <c r="C12" s="56">
        <v>44743</v>
      </c>
      <c r="D12" s="56">
        <v>44774</v>
      </c>
      <c r="E12" s="56">
        <v>44805</v>
      </c>
      <c r="F12" s="56">
        <v>44835</v>
      </c>
      <c r="G12" s="56">
        <v>44866</v>
      </c>
      <c r="H12" s="56">
        <v>44896</v>
      </c>
      <c r="I12" s="56">
        <v>44927</v>
      </c>
      <c r="J12" s="56">
        <v>44958</v>
      </c>
      <c r="K12" s="56">
        <v>44986</v>
      </c>
      <c r="L12" s="56">
        <v>45017</v>
      </c>
      <c r="M12" s="56">
        <v>45047</v>
      </c>
      <c r="N12" s="57">
        <v>45078</v>
      </c>
    </row>
    <row r="13" spans="1:14">
      <c r="A13" s="42" t="s">
        <v>25</v>
      </c>
      <c r="B13" s="43">
        <v>132</v>
      </c>
      <c r="C13" s="44">
        <v>6811513.54</v>
      </c>
      <c r="D13" s="44">
        <v>7986171.2300000004</v>
      </c>
      <c r="E13" s="44">
        <v>5280290.5199999996</v>
      </c>
      <c r="F13" s="44">
        <v>7742653.4800000004</v>
      </c>
      <c r="G13" s="44">
        <v>6060750.9800000004</v>
      </c>
      <c r="H13" s="44">
        <v>225341.74</v>
      </c>
      <c r="I13" s="44">
        <v>6771842.1699999999</v>
      </c>
      <c r="J13" s="44">
        <v>6451548.8099999996</v>
      </c>
      <c r="K13" s="44">
        <v>6875599.7599999998</v>
      </c>
      <c r="L13" s="44">
        <v>12345861.970000001</v>
      </c>
      <c r="M13" s="44">
        <v>6817804.2800000003</v>
      </c>
      <c r="N13" s="45">
        <v>6674183.6500000004</v>
      </c>
    </row>
    <row r="14" spans="1:14">
      <c r="A14" s="42" t="s">
        <v>26</v>
      </c>
      <c r="B14" s="43">
        <v>133</v>
      </c>
      <c r="C14" s="46">
        <v>178872.5</v>
      </c>
      <c r="D14" s="46">
        <v>0</v>
      </c>
      <c r="E14" s="46">
        <v>199278.91</v>
      </c>
      <c r="F14" s="46">
        <v>0</v>
      </c>
      <c r="G14" s="46">
        <v>435982.24</v>
      </c>
      <c r="H14" s="46">
        <v>-25707.09</v>
      </c>
      <c r="I14" s="46">
        <v>193824.5</v>
      </c>
      <c r="J14" s="46">
        <v>0</v>
      </c>
      <c r="K14" s="46">
        <v>-25.43</v>
      </c>
      <c r="L14" s="46">
        <v>108676.66</v>
      </c>
      <c r="M14" s="46">
        <v>-8910</v>
      </c>
      <c r="N14" s="47">
        <v>81803.520000000004</v>
      </c>
    </row>
    <row r="15" spans="1:14" ht="16.5">
      <c r="A15" s="42" t="s">
        <v>27</v>
      </c>
      <c r="B15" s="43">
        <v>134</v>
      </c>
      <c r="C15" s="48">
        <v>1403015.4</v>
      </c>
      <c r="D15" s="48">
        <v>1618361.76</v>
      </c>
      <c r="E15" s="48">
        <v>2430458.66</v>
      </c>
      <c r="F15" s="48">
        <v>3547417.39</v>
      </c>
      <c r="G15" s="48">
        <v>1750548.43</v>
      </c>
      <c r="H15" s="48">
        <v>-2461260.2999999998</v>
      </c>
      <c r="I15" s="48">
        <v>1101293.1000000001</v>
      </c>
      <c r="J15" s="48">
        <v>977110.74</v>
      </c>
      <c r="K15" s="48">
        <v>931758.95</v>
      </c>
      <c r="L15" s="48">
        <v>4629582.13</v>
      </c>
      <c r="M15" s="48">
        <v>1032896.58</v>
      </c>
      <c r="N15" s="49">
        <v>2077101.99</v>
      </c>
    </row>
    <row r="16" spans="1:14">
      <c r="A16" t="s">
        <v>28</v>
      </c>
      <c r="B16" s="43"/>
      <c r="C16" s="3">
        <f>C14+C15</f>
        <v>1581887.9</v>
      </c>
      <c r="D16" s="3">
        <f t="shared" ref="D16:N16" si="3">C16+D14+D15</f>
        <v>3200249.66</v>
      </c>
      <c r="E16" s="3">
        <f t="shared" si="3"/>
        <v>5829987.2300000004</v>
      </c>
      <c r="F16" s="3">
        <f t="shared" si="3"/>
        <v>9377404.620000001</v>
      </c>
      <c r="G16" s="3">
        <f t="shared" si="3"/>
        <v>11563935.290000001</v>
      </c>
      <c r="H16" s="3">
        <f t="shared" si="3"/>
        <v>9076967.9000000022</v>
      </c>
      <c r="I16" s="3">
        <f t="shared" si="3"/>
        <v>10372085.500000002</v>
      </c>
      <c r="J16" s="3">
        <f t="shared" si="3"/>
        <v>11349196.240000002</v>
      </c>
      <c r="K16" s="3">
        <f t="shared" si="3"/>
        <v>12280929.760000002</v>
      </c>
      <c r="L16" s="3">
        <f t="shared" si="3"/>
        <v>17019188.550000001</v>
      </c>
      <c r="M16" s="3">
        <f t="shared" si="3"/>
        <v>18043175.129999999</v>
      </c>
      <c r="N16" s="15">
        <f t="shared" si="3"/>
        <v>20202080.639999997</v>
      </c>
    </row>
    <row r="17" spans="1:52">
      <c r="A17" t="s">
        <v>29</v>
      </c>
      <c r="B17" s="43"/>
      <c r="C17" s="50">
        <f>C13</f>
        <v>6811513.54</v>
      </c>
      <c r="D17" s="50">
        <f>C17+D13</f>
        <v>14797684.77</v>
      </c>
      <c r="E17" s="50">
        <f t="shared" ref="E17:N17" si="4">D17+E13</f>
        <v>20077975.289999999</v>
      </c>
      <c r="F17" s="50">
        <f t="shared" si="4"/>
        <v>27820628.77</v>
      </c>
      <c r="G17" s="50">
        <f t="shared" si="4"/>
        <v>33881379.75</v>
      </c>
      <c r="H17" s="50">
        <f t="shared" si="4"/>
        <v>34106721.490000002</v>
      </c>
      <c r="I17" s="50">
        <f t="shared" si="4"/>
        <v>40878563.660000004</v>
      </c>
      <c r="J17" s="50">
        <f t="shared" si="4"/>
        <v>47330112.470000006</v>
      </c>
      <c r="K17" s="50">
        <f t="shared" si="4"/>
        <v>54205712.230000004</v>
      </c>
      <c r="L17" s="50">
        <f t="shared" si="4"/>
        <v>66551574.200000003</v>
      </c>
      <c r="M17" s="50">
        <f t="shared" si="4"/>
        <v>73369378.480000004</v>
      </c>
      <c r="N17" s="51">
        <f t="shared" si="4"/>
        <v>80043562.13000001</v>
      </c>
    </row>
    <row r="18" spans="1:52" ht="15.75" thickBot="1">
      <c r="A18" s="52" t="s">
        <v>30</v>
      </c>
      <c r="B18" s="53"/>
      <c r="C18" s="54">
        <f>C16/C17</f>
        <v>0.23223735675052332</v>
      </c>
      <c r="D18" s="54">
        <f t="shared" ref="D18:N18" si="5">D16/D17</f>
        <v>0.2162669167333533</v>
      </c>
      <c r="E18" s="54">
        <f t="shared" si="5"/>
        <v>0.2903672878262617</v>
      </c>
      <c r="F18" s="54">
        <f t="shared" si="5"/>
        <v>0.33706659534999434</v>
      </c>
      <c r="G18" s="54">
        <f t="shared" si="5"/>
        <v>0.34130650449676569</v>
      </c>
      <c r="H18" s="54">
        <f t="shared" si="5"/>
        <v>0.26613428390240745</v>
      </c>
      <c r="I18" s="54">
        <f t="shared" si="5"/>
        <v>0.25372920600312504</v>
      </c>
      <c r="J18" s="54">
        <f t="shared" si="5"/>
        <v>0.23978806826613064</v>
      </c>
      <c r="K18" s="54">
        <f t="shared" si="5"/>
        <v>0.22656154222069522</v>
      </c>
      <c r="L18" s="54">
        <f t="shared" si="5"/>
        <v>0.25572931601669008</v>
      </c>
      <c r="M18" s="54">
        <f t="shared" si="5"/>
        <v>0.24592242027671593</v>
      </c>
      <c r="N18" s="55">
        <f t="shared" si="5"/>
        <v>0.25238857570068507</v>
      </c>
    </row>
    <row r="19" spans="1:52" ht="15.75" thickBot="1"/>
    <row r="20" spans="1:52">
      <c r="A20" s="18" t="s">
        <v>12</v>
      </c>
      <c r="B20" s="19"/>
      <c r="C20" s="56">
        <v>45108</v>
      </c>
      <c r="D20" s="56">
        <v>45139</v>
      </c>
      <c r="E20" s="56">
        <v>45170</v>
      </c>
      <c r="F20" s="56">
        <v>45200</v>
      </c>
      <c r="G20" s="56">
        <v>45231</v>
      </c>
      <c r="H20" s="56">
        <v>45261</v>
      </c>
      <c r="I20" s="56">
        <v>45292</v>
      </c>
      <c r="J20" s="56">
        <v>45323</v>
      </c>
      <c r="K20" s="56">
        <v>45352</v>
      </c>
      <c r="L20" s="56">
        <v>45383</v>
      </c>
      <c r="M20" s="56">
        <v>45413</v>
      </c>
      <c r="N20" s="57">
        <v>45444</v>
      </c>
      <c r="AN20" s="20"/>
      <c r="AZ20" s="73"/>
    </row>
    <row r="21" spans="1:52">
      <c r="A21" s="42" t="s">
        <v>25</v>
      </c>
      <c r="B21" s="43">
        <v>132</v>
      </c>
      <c r="C21" s="44">
        <v>6665027.8399999999</v>
      </c>
      <c r="D21" s="44">
        <v>7496713.1399999997</v>
      </c>
      <c r="E21" s="44">
        <v>6893036.79</v>
      </c>
      <c r="F21" s="44">
        <v>7784276.1200000001</v>
      </c>
      <c r="G21" s="44">
        <v>6322738.8799999999</v>
      </c>
      <c r="H21" s="44">
        <v>7273789.0599999996</v>
      </c>
      <c r="I21" s="44">
        <v>6959548.0899999999</v>
      </c>
      <c r="J21" s="44">
        <v>7601879.9299999997</v>
      </c>
      <c r="K21" s="44">
        <v>7398441.4199999999</v>
      </c>
      <c r="L21" s="44">
        <v>8017724.2400000002</v>
      </c>
      <c r="M21" s="44">
        <v>7934867.9199999999</v>
      </c>
      <c r="N21" s="45">
        <v>7442880.0499999998</v>
      </c>
      <c r="AN21" s="20"/>
      <c r="AZ21" s="73"/>
    </row>
    <row r="22" spans="1:52">
      <c r="A22" s="42" t="s">
        <v>26</v>
      </c>
      <c r="B22" s="43">
        <v>133</v>
      </c>
      <c r="C22" s="46">
        <v>188618.65</v>
      </c>
      <c r="D22" s="46">
        <v>0</v>
      </c>
      <c r="E22" s="46">
        <v>227631.04</v>
      </c>
      <c r="F22" s="46">
        <v>159.13999999999999</v>
      </c>
      <c r="G22" s="46">
        <v>734585.09</v>
      </c>
      <c r="H22" s="46">
        <v>-65856.47</v>
      </c>
      <c r="I22" s="46">
        <v>365838.99</v>
      </c>
      <c r="J22" s="46">
        <v>577.75</v>
      </c>
      <c r="K22" s="46">
        <v>218143.44</v>
      </c>
      <c r="L22" s="46">
        <v>-26429.360000000001</v>
      </c>
      <c r="M22" s="46">
        <v>0</v>
      </c>
      <c r="N22" s="47">
        <v>247970.45</v>
      </c>
      <c r="AN22" s="20"/>
      <c r="AZ22" s="73"/>
    </row>
    <row r="23" spans="1:52" ht="16.5">
      <c r="A23" s="42" t="s">
        <v>27</v>
      </c>
      <c r="B23" s="43">
        <v>134</v>
      </c>
      <c r="C23" s="48">
        <v>1572826.21</v>
      </c>
      <c r="D23" s="48">
        <v>1587915.35</v>
      </c>
      <c r="E23" s="48">
        <v>1396111.47</v>
      </c>
      <c r="F23" s="48">
        <v>1682469.61</v>
      </c>
      <c r="G23" s="48">
        <v>1205807.73</v>
      </c>
      <c r="H23" s="48">
        <v>1410175.15</v>
      </c>
      <c r="I23" s="48">
        <v>1356040.6</v>
      </c>
      <c r="J23" s="48">
        <v>1725559.01</v>
      </c>
      <c r="K23" s="48">
        <v>1532651.86</v>
      </c>
      <c r="L23" s="48">
        <v>1853433.79</v>
      </c>
      <c r="M23" s="48">
        <v>1760429.68</v>
      </c>
      <c r="N23" s="49">
        <v>2486426.35</v>
      </c>
      <c r="AN23" s="20"/>
      <c r="AZ23" s="73"/>
    </row>
    <row r="24" spans="1:52">
      <c r="A24" t="s">
        <v>28</v>
      </c>
      <c r="B24" s="43"/>
      <c r="C24" s="3">
        <f>C22+C23</f>
        <v>1761444.8599999999</v>
      </c>
      <c r="D24" s="3">
        <f>C24+D22+D23</f>
        <v>3349360.21</v>
      </c>
      <c r="E24" s="3">
        <f t="shared" ref="E24:N24" si="6">D24+E22+E23</f>
        <v>4973102.72</v>
      </c>
      <c r="F24" s="3">
        <f t="shared" si="6"/>
        <v>6655731.4699999997</v>
      </c>
      <c r="G24" s="3">
        <f t="shared" si="6"/>
        <v>8596124.2899999991</v>
      </c>
      <c r="H24" s="3">
        <f t="shared" si="6"/>
        <v>9940442.9699999988</v>
      </c>
      <c r="I24" s="3">
        <f t="shared" si="6"/>
        <v>11662322.559999999</v>
      </c>
      <c r="J24" s="3">
        <f t="shared" si="6"/>
        <v>13388459.319999998</v>
      </c>
      <c r="K24" s="3">
        <f t="shared" si="6"/>
        <v>15139254.619999997</v>
      </c>
      <c r="L24" s="3">
        <f t="shared" si="6"/>
        <v>16966259.049999997</v>
      </c>
      <c r="M24" s="3">
        <f t="shared" si="6"/>
        <v>18726688.729999997</v>
      </c>
      <c r="N24" s="15">
        <f t="shared" si="6"/>
        <v>21461085.529999997</v>
      </c>
      <c r="AN24" s="20"/>
      <c r="AZ24" s="73"/>
    </row>
    <row r="25" spans="1:52">
      <c r="A25" t="s">
        <v>29</v>
      </c>
      <c r="B25" s="43"/>
      <c r="C25" s="50">
        <f>C21</f>
        <v>6665027.8399999999</v>
      </c>
      <c r="D25" s="50">
        <f>C25+D21</f>
        <v>14161740.98</v>
      </c>
      <c r="E25" s="50">
        <f t="shared" ref="E25:N25" si="7">D25+E21</f>
        <v>21054777.77</v>
      </c>
      <c r="F25" s="50">
        <f t="shared" si="7"/>
        <v>28839053.890000001</v>
      </c>
      <c r="G25" s="50">
        <f t="shared" si="7"/>
        <v>35161792.770000003</v>
      </c>
      <c r="H25" s="50">
        <f t="shared" si="7"/>
        <v>42435581.830000006</v>
      </c>
      <c r="I25" s="50">
        <f t="shared" si="7"/>
        <v>49395129.920000002</v>
      </c>
      <c r="J25" s="50">
        <f t="shared" si="7"/>
        <v>56997009.850000001</v>
      </c>
      <c r="K25" s="50">
        <f t="shared" si="7"/>
        <v>64395451.270000003</v>
      </c>
      <c r="L25" s="50">
        <f t="shared" si="7"/>
        <v>72413175.510000005</v>
      </c>
      <c r="M25" s="50">
        <f t="shared" si="7"/>
        <v>80348043.430000007</v>
      </c>
      <c r="N25" s="51">
        <f t="shared" si="7"/>
        <v>87790923.480000004</v>
      </c>
      <c r="AN25" s="20"/>
      <c r="AZ25" s="73"/>
    </row>
    <row r="26" spans="1:52" ht="15.75" thickBot="1">
      <c r="A26" s="52" t="s">
        <v>30</v>
      </c>
      <c r="B26" s="53"/>
      <c r="C26" s="54">
        <f>C24/C25</f>
        <v>0.26428169578358429</v>
      </c>
      <c r="D26" s="54">
        <f>D24/D25</f>
        <v>0.23650765924402609</v>
      </c>
      <c r="E26" s="54">
        <f>E24/E25</f>
        <v>0.2361983001827713</v>
      </c>
      <c r="F26" s="54">
        <f t="shared" ref="F26:N26" si="8">F24/F25</f>
        <v>0.23078882876625464</v>
      </c>
      <c r="G26" s="54">
        <f t="shared" si="8"/>
        <v>0.2444734358748113</v>
      </c>
      <c r="H26" s="54">
        <f t="shared" si="8"/>
        <v>0.23424783027182539</v>
      </c>
      <c r="I26" s="54">
        <f t="shared" si="8"/>
        <v>0.23610268014049587</v>
      </c>
      <c r="J26" s="54">
        <f t="shared" si="8"/>
        <v>0.23489757366631397</v>
      </c>
      <c r="K26" s="54">
        <f t="shared" si="8"/>
        <v>0.2350981990408528</v>
      </c>
      <c r="L26" s="54">
        <f t="shared" si="8"/>
        <v>0.23429795655981164</v>
      </c>
      <c r="M26" s="54">
        <f t="shared" si="8"/>
        <v>0.2330696297080945</v>
      </c>
      <c r="N26" s="55">
        <f t="shared" si="8"/>
        <v>0.24445676932523819</v>
      </c>
      <c r="AN26" s="20"/>
      <c r="AZ26" s="73"/>
    </row>
    <row r="27" spans="1:52" ht="15.75" thickBot="1">
      <c r="AN27" s="20"/>
      <c r="AZ27" s="73"/>
    </row>
    <row r="28" spans="1:52">
      <c r="A28" s="18" t="s">
        <v>13</v>
      </c>
      <c r="B28" s="19"/>
      <c r="C28" s="56">
        <v>45474</v>
      </c>
      <c r="D28" s="56">
        <v>45505</v>
      </c>
      <c r="E28" s="56">
        <v>45536</v>
      </c>
      <c r="F28" s="56">
        <v>45566</v>
      </c>
      <c r="G28" s="56">
        <v>45597</v>
      </c>
      <c r="H28" s="56">
        <v>45627</v>
      </c>
      <c r="I28" s="56">
        <v>45658</v>
      </c>
      <c r="J28" s="56">
        <v>45689</v>
      </c>
      <c r="K28" s="56">
        <v>45717</v>
      </c>
      <c r="L28" s="56">
        <v>45748</v>
      </c>
      <c r="M28" s="56">
        <v>45778</v>
      </c>
      <c r="N28" s="56">
        <v>45809</v>
      </c>
    </row>
    <row r="29" spans="1:52">
      <c r="A29" s="42" t="s">
        <v>25</v>
      </c>
      <c r="B29" s="43">
        <v>132</v>
      </c>
      <c r="C29" s="44">
        <v>8485816.0199999996</v>
      </c>
      <c r="D29" s="44">
        <v>10406190</v>
      </c>
      <c r="E29" s="44">
        <v>4370725.42</v>
      </c>
      <c r="F29" s="44">
        <v>12952682.130000001</v>
      </c>
      <c r="G29" s="44">
        <v>7255449.7400000002</v>
      </c>
      <c r="H29" s="44">
        <v>7495926.6600000001</v>
      </c>
      <c r="I29" s="44">
        <v>7861724.8799999999</v>
      </c>
      <c r="J29" s="44">
        <v>7339666.3700000001</v>
      </c>
      <c r="K29" s="44">
        <v>7251821.1100000003</v>
      </c>
      <c r="L29" s="44">
        <v>7153218.8799999999</v>
      </c>
      <c r="M29" s="44">
        <v>6949248.8600000003</v>
      </c>
      <c r="N29" s="45">
        <v>6450222.3700000001</v>
      </c>
      <c r="P29" s="20" t="s">
        <v>0</v>
      </c>
    </row>
    <row r="30" spans="1:52">
      <c r="A30" s="42" t="s">
        <v>26</v>
      </c>
      <c r="B30" s="43">
        <v>133</v>
      </c>
      <c r="C30" s="46">
        <v>567301.80000000005</v>
      </c>
      <c r="D30" s="46">
        <v>0</v>
      </c>
      <c r="E30" s="46">
        <v>254439.92</v>
      </c>
      <c r="F30" s="46">
        <v>0</v>
      </c>
      <c r="G30" s="46">
        <v>1018212.03</v>
      </c>
      <c r="H30" s="46">
        <v>262830.23</v>
      </c>
      <c r="I30" s="46">
        <v>500504.7</v>
      </c>
      <c r="J30" s="46">
        <v>0</v>
      </c>
      <c r="K30" s="46">
        <v>0</v>
      </c>
      <c r="L30" s="46">
        <v>285336.71000000002</v>
      </c>
      <c r="M30" s="46">
        <v>189590.66</v>
      </c>
      <c r="N30" s="47">
        <v>1037.93</v>
      </c>
      <c r="P30" s="20" t="s">
        <v>0</v>
      </c>
    </row>
    <row r="31" spans="1:52" ht="16.5">
      <c r="A31" s="42" t="s">
        <v>27</v>
      </c>
      <c r="B31" s="43">
        <v>134</v>
      </c>
      <c r="C31" s="48">
        <v>1966702.61</v>
      </c>
      <c r="D31" s="48">
        <v>4709724.08</v>
      </c>
      <c r="E31" s="48">
        <v>-1320744.8500000001</v>
      </c>
      <c r="F31" s="48">
        <v>4764288.7699999996</v>
      </c>
      <c r="G31" s="48">
        <v>1570416.77</v>
      </c>
      <c r="H31" s="48">
        <v>1376562.72</v>
      </c>
      <c r="I31" s="48">
        <v>1209573.1200000001</v>
      </c>
      <c r="J31" s="48">
        <v>950919.66</v>
      </c>
      <c r="K31" s="48">
        <v>811527.32</v>
      </c>
      <c r="L31" s="48">
        <v>1188068.76</v>
      </c>
      <c r="M31" s="48">
        <v>1224035.0900000001</v>
      </c>
      <c r="N31" s="49">
        <v>1062719.2</v>
      </c>
      <c r="P31" s="20" t="s">
        <v>0</v>
      </c>
    </row>
    <row r="32" spans="1:52">
      <c r="A32" s="42" t="s">
        <v>28</v>
      </c>
      <c r="B32" s="43"/>
      <c r="C32" s="3">
        <f>C30+C31</f>
        <v>2534004.41</v>
      </c>
      <c r="D32" s="3">
        <f t="shared" ref="D32:N32" si="9">C32+D30+D31</f>
        <v>7243728.4900000002</v>
      </c>
      <c r="E32" s="3">
        <f t="shared" si="9"/>
        <v>6177423.5600000005</v>
      </c>
      <c r="F32" s="3">
        <f t="shared" si="9"/>
        <v>10941712.33</v>
      </c>
      <c r="G32" s="3">
        <f t="shared" si="9"/>
        <v>13530341.129999999</v>
      </c>
      <c r="H32" s="3">
        <f t="shared" si="9"/>
        <v>15169734.08</v>
      </c>
      <c r="I32" s="3">
        <f t="shared" si="9"/>
        <v>16879811.899999999</v>
      </c>
      <c r="J32" s="3">
        <f t="shared" si="9"/>
        <v>17830731.559999999</v>
      </c>
      <c r="K32" s="3">
        <f t="shared" si="9"/>
        <v>18642258.879999999</v>
      </c>
      <c r="L32" s="3">
        <f t="shared" si="9"/>
        <v>20115664.350000001</v>
      </c>
      <c r="M32" s="3">
        <f t="shared" si="9"/>
        <v>21529290.100000001</v>
      </c>
      <c r="N32" s="15">
        <f t="shared" si="9"/>
        <v>22593047.23</v>
      </c>
    </row>
    <row r="33" spans="1:14">
      <c r="A33" t="s">
        <v>29</v>
      </c>
      <c r="B33" s="43"/>
      <c r="C33" s="50">
        <f>C29</f>
        <v>8485816.0199999996</v>
      </c>
      <c r="D33" s="50">
        <f>C33+D29</f>
        <v>18892006.02</v>
      </c>
      <c r="E33" s="50">
        <f t="shared" ref="E33:N33" si="10">D33+E29</f>
        <v>23262731.439999998</v>
      </c>
      <c r="F33" s="50">
        <f t="shared" si="10"/>
        <v>36215413.57</v>
      </c>
      <c r="G33" s="50">
        <f t="shared" si="10"/>
        <v>43470863.310000002</v>
      </c>
      <c r="H33" s="50">
        <f t="shared" si="10"/>
        <v>50966789.969999999</v>
      </c>
      <c r="I33" s="50">
        <f t="shared" si="10"/>
        <v>58828514.850000001</v>
      </c>
      <c r="J33" s="50">
        <f t="shared" si="10"/>
        <v>66168181.219999999</v>
      </c>
      <c r="K33" s="50">
        <f t="shared" si="10"/>
        <v>73420002.329999998</v>
      </c>
      <c r="L33" s="50">
        <f t="shared" si="10"/>
        <v>80573221.209999993</v>
      </c>
      <c r="M33" s="50">
        <f t="shared" si="10"/>
        <v>87522470.069999993</v>
      </c>
      <c r="N33" s="51">
        <f t="shared" si="10"/>
        <v>93972692.439999998</v>
      </c>
    </row>
    <row r="34" spans="1:14" ht="15.75" thickBot="1">
      <c r="A34" s="52" t="s">
        <v>30</v>
      </c>
      <c r="B34" s="53"/>
      <c r="C34" s="54">
        <f>C32/C33</f>
        <v>0.29861646823684029</v>
      </c>
      <c r="D34" s="54">
        <f>D32/D33</f>
        <v>0.38342823320781477</v>
      </c>
      <c r="E34" s="54">
        <f t="shared" ref="E34:N34" si="11">E32/E33</f>
        <v>0.26555022465581973</v>
      </c>
      <c r="F34" s="54">
        <f t="shared" si="11"/>
        <v>0.30212860358065491</v>
      </c>
      <c r="G34" s="54">
        <f t="shared" si="11"/>
        <v>0.31125080340623212</v>
      </c>
      <c r="H34" s="54">
        <f t="shared" si="11"/>
        <v>0.29763958234232896</v>
      </c>
      <c r="I34" s="54">
        <f t="shared" si="11"/>
        <v>0.28693248406899052</v>
      </c>
      <c r="J34" s="54">
        <f t="shared" si="11"/>
        <v>0.26947592077097143</v>
      </c>
      <c r="K34" s="54">
        <f t="shared" si="11"/>
        <v>0.25391253457346491</v>
      </c>
      <c r="L34" s="54">
        <f t="shared" si="11"/>
        <v>0.24965694616542691</v>
      </c>
      <c r="M34" s="54">
        <f t="shared" si="11"/>
        <v>0.24598586034855954</v>
      </c>
      <c r="N34" s="55">
        <f t="shared" si="11"/>
        <v>0.24042141012853585</v>
      </c>
    </row>
    <row r="35" spans="1:14" ht="15.75" thickBot="1"/>
    <row r="36" spans="1:14">
      <c r="A36" s="18" t="s">
        <v>14</v>
      </c>
      <c r="B36" s="19"/>
      <c r="C36" s="56">
        <v>45839</v>
      </c>
      <c r="D36" s="56">
        <v>45870</v>
      </c>
      <c r="E36" s="56">
        <v>45901</v>
      </c>
      <c r="F36" s="56">
        <v>45931</v>
      </c>
      <c r="G36" s="56">
        <v>45962</v>
      </c>
      <c r="H36" s="56">
        <v>45992</v>
      </c>
      <c r="I36" s="56">
        <v>46023</v>
      </c>
      <c r="J36" s="56">
        <v>46054</v>
      </c>
      <c r="K36" s="56">
        <v>46082</v>
      </c>
      <c r="L36" s="56">
        <v>46113</v>
      </c>
      <c r="M36" s="56">
        <v>46143</v>
      </c>
      <c r="N36" s="56">
        <v>46174</v>
      </c>
    </row>
    <row r="37" spans="1:14">
      <c r="A37" s="42" t="s">
        <v>25</v>
      </c>
      <c r="B37" s="43">
        <v>132</v>
      </c>
      <c r="C37" s="44">
        <v>7224011.7599999998</v>
      </c>
      <c r="D37" s="44">
        <v>7243864.8799999999</v>
      </c>
      <c r="E37" s="44">
        <v>7030156.8799999999</v>
      </c>
      <c r="F37" s="44">
        <v>7703226.0700000003</v>
      </c>
      <c r="G37" s="44">
        <v>5932107.2999999998</v>
      </c>
      <c r="H37" s="44">
        <v>6575284.6100000003</v>
      </c>
      <c r="I37" s="44">
        <v>6777404.1200000001</v>
      </c>
      <c r="J37" s="44">
        <v>6828009.96</v>
      </c>
      <c r="K37" s="44">
        <v>7496001.6699999999</v>
      </c>
      <c r="L37" s="44">
        <v>7551365.4800000004</v>
      </c>
      <c r="M37" s="44">
        <v>7237785.54</v>
      </c>
      <c r="N37" s="45">
        <v>7060961.0199999996</v>
      </c>
    </row>
    <row r="38" spans="1:14">
      <c r="A38" s="42" t="s">
        <v>26</v>
      </c>
      <c r="B38" s="43">
        <v>133</v>
      </c>
      <c r="C38" s="46">
        <v>176682.57</v>
      </c>
      <c r="D38" s="46">
        <v>0</v>
      </c>
      <c r="E38" s="46">
        <v>215897.96</v>
      </c>
      <c r="F38" s="46">
        <v>0</v>
      </c>
      <c r="G38" s="46">
        <v>409965.37</v>
      </c>
      <c r="H38" s="46">
        <v>412384.5</v>
      </c>
      <c r="I38" s="46">
        <v>171675.02</v>
      </c>
      <c r="J38" s="46">
        <v>-9105.64</v>
      </c>
      <c r="K38" s="46">
        <v>2039.69</v>
      </c>
      <c r="L38" s="46">
        <v>177443.31</v>
      </c>
      <c r="M38" s="46">
        <v>347131.27</v>
      </c>
      <c r="N38" s="47">
        <v>856.25</v>
      </c>
    </row>
    <row r="39" spans="1:14" ht="16.5">
      <c r="A39" s="42" t="s">
        <v>27</v>
      </c>
      <c r="B39" s="43">
        <v>134</v>
      </c>
      <c r="C39" s="48">
        <v>1101991.77</v>
      </c>
      <c r="D39" s="48">
        <v>2133725.09</v>
      </c>
      <c r="E39" s="48">
        <v>953474.46</v>
      </c>
      <c r="F39" s="48">
        <v>771996.84</v>
      </c>
      <c r="G39" s="48">
        <v>683228.63</v>
      </c>
      <c r="H39" s="48">
        <v>581467.29</v>
      </c>
      <c r="I39" s="48">
        <v>526787.14</v>
      </c>
      <c r="J39" s="48">
        <v>874293.62</v>
      </c>
      <c r="K39" s="48">
        <v>1061362.3600000001</v>
      </c>
      <c r="L39" s="48">
        <v>710432.29</v>
      </c>
      <c r="M39" s="48">
        <v>1482839.98</v>
      </c>
      <c r="N39" s="49">
        <v>1039150.33</v>
      </c>
    </row>
    <row r="40" spans="1:14">
      <c r="A40" s="42" t="s">
        <v>28</v>
      </c>
      <c r="B40" s="43"/>
      <c r="C40" s="3">
        <f>C38+C39</f>
        <v>1278674.3400000001</v>
      </c>
      <c r="D40" s="3">
        <f t="shared" ref="D40:N40" si="12">C40+D38+D39</f>
        <v>3412399.4299999997</v>
      </c>
      <c r="E40" s="3">
        <f t="shared" si="12"/>
        <v>4581771.8499999996</v>
      </c>
      <c r="F40" s="3">
        <f t="shared" si="12"/>
        <v>5353768.6899999995</v>
      </c>
      <c r="G40" s="3">
        <f t="shared" si="12"/>
        <v>6446962.6899999995</v>
      </c>
      <c r="H40" s="3">
        <f t="shared" si="12"/>
        <v>7440814.4799999995</v>
      </c>
      <c r="I40" s="3">
        <f t="shared" si="12"/>
        <v>8139276.6399999987</v>
      </c>
      <c r="J40" s="3">
        <f t="shared" si="12"/>
        <v>9004464.6199999992</v>
      </c>
      <c r="K40" s="3">
        <f t="shared" si="12"/>
        <v>10067866.669999998</v>
      </c>
      <c r="L40" s="3">
        <f t="shared" si="12"/>
        <v>10955742.27</v>
      </c>
      <c r="M40" s="3">
        <f t="shared" si="12"/>
        <v>12785713.52</v>
      </c>
      <c r="N40" s="15">
        <f t="shared" si="12"/>
        <v>13825720.1</v>
      </c>
    </row>
    <row r="41" spans="1:14">
      <c r="A41" t="s">
        <v>29</v>
      </c>
      <c r="B41" s="43"/>
      <c r="C41" s="50">
        <f>C37</f>
        <v>7224011.7599999998</v>
      </c>
      <c r="D41" s="50">
        <f>C41+D37</f>
        <v>14467876.640000001</v>
      </c>
      <c r="E41" s="50">
        <f t="shared" ref="E41:N41" si="13">D41+E37</f>
        <v>21498033.52</v>
      </c>
      <c r="F41" s="50">
        <f t="shared" si="13"/>
        <v>29201259.59</v>
      </c>
      <c r="G41" s="50">
        <f t="shared" si="13"/>
        <v>35133366.890000001</v>
      </c>
      <c r="H41" s="50">
        <f t="shared" si="13"/>
        <v>41708651.5</v>
      </c>
      <c r="I41" s="50">
        <f t="shared" si="13"/>
        <v>48486055.619999997</v>
      </c>
      <c r="J41" s="50">
        <f t="shared" si="13"/>
        <v>55314065.579999998</v>
      </c>
      <c r="K41" s="50">
        <f t="shared" si="13"/>
        <v>62810067.25</v>
      </c>
      <c r="L41" s="50">
        <f t="shared" si="13"/>
        <v>70361432.730000004</v>
      </c>
      <c r="M41" s="50">
        <f t="shared" si="13"/>
        <v>77599218.270000011</v>
      </c>
      <c r="N41" s="51">
        <f t="shared" si="13"/>
        <v>84660179.290000007</v>
      </c>
    </row>
    <row r="42" spans="1:14" ht="15.75" thickBot="1">
      <c r="A42" s="52" t="s">
        <v>30</v>
      </c>
      <c r="B42" s="53"/>
      <c r="C42" s="54">
        <f>C40/C41</f>
        <v>0.17700335803440057</v>
      </c>
      <c r="D42" s="54">
        <f>D40/D41</f>
        <v>0.23586041786986092</v>
      </c>
      <c r="E42" s="54">
        <f>E40/E41</f>
        <v>0.21312516076121552</v>
      </c>
      <c r="F42" s="54">
        <f t="shared" ref="F42:N42" si="14">F40/F41</f>
        <v>0.18334033412152545</v>
      </c>
      <c r="G42" s="54">
        <f t="shared" si="14"/>
        <v>0.18349971154728686</v>
      </c>
      <c r="H42" s="54">
        <f t="shared" si="14"/>
        <v>0.17839978547376434</v>
      </c>
      <c r="I42" s="54">
        <f t="shared" si="14"/>
        <v>0.16786840125313537</v>
      </c>
      <c r="J42" s="54">
        <f t="shared" si="14"/>
        <v>0.16278797310562829</v>
      </c>
      <c r="K42" s="54">
        <f t="shared" si="14"/>
        <v>0.16029065261031061</v>
      </c>
      <c r="L42" s="54">
        <f t="shared" si="14"/>
        <v>0.15570663991509087</v>
      </c>
      <c r="M42" s="54">
        <f t="shared" si="14"/>
        <v>0.16476600931098526</v>
      </c>
      <c r="N42" s="55">
        <f t="shared" si="14"/>
        <v>0.16330841980195385</v>
      </c>
    </row>
    <row r="43" spans="1:14">
      <c r="A43" s="25"/>
      <c r="B43" s="25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</row>
    <row r="44" spans="1:14">
      <c r="A44" s="25"/>
      <c r="B44" s="25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</row>
    <row r="45" spans="1:14">
      <c r="A45" s="25"/>
      <c r="B45" s="25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</row>
    <row r="46" spans="1:14">
      <c r="A46" s="71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</row>
    <row r="47" spans="1:14">
      <c r="A47" s="71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</row>
    <row r="48" spans="1:14">
      <c r="C48" s="75" t="s">
        <v>0</v>
      </c>
      <c r="D48" s="75" t="s">
        <v>0</v>
      </c>
      <c r="E48" s="75" t="s">
        <v>0</v>
      </c>
      <c r="F48" s="75" t="s">
        <v>0</v>
      </c>
      <c r="G48" s="75" t="s">
        <v>0</v>
      </c>
      <c r="H48" s="75" t="s">
        <v>0</v>
      </c>
      <c r="I48" s="75" t="s">
        <v>0</v>
      </c>
      <c r="J48" s="75" t="s">
        <v>0</v>
      </c>
      <c r="K48" s="75" t="s">
        <v>0</v>
      </c>
      <c r="L48" s="75" t="s">
        <v>0</v>
      </c>
      <c r="M48" s="75" t="s">
        <v>0</v>
      </c>
      <c r="N48" s="75" t="s">
        <v>0</v>
      </c>
    </row>
    <row r="49" spans="3:14">
      <c r="C49" s="75" t="s">
        <v>0</v>
      </c>
      <c r="D49" s="75" t="s">
        <v>0</v>
      </c>
      <c r="E49" s="75" t="s">
        <v>0</v>
      </c>
      <c r="F49" s="75" t="s">
        <v>0</v>
      </c>
      <c r="G49" s="75" t="s">
        <v>0</v>
      </c>
      <c r="H49" s="75" t="s">
        <v>0</v>
      </c>
      <c r="I49" s="75" t="s">
        <v>0</v>
      </c>
      <c r="J49" s="75" t="s">
        <v>0</v>
      </c>
      <c r="K49" s="75" t="s">
        <v>0</v>
      </c>
      <c r="L49" s="75" t="s">
        <v>0</v>
      </c>
      <c r="M49" s="75" t="s">
        <v>0</v>
      </c>
      <c r="N49" s="75" t="s">
        <v>0</v>
      </c>
    </row>
    <row r="50" spans="3:14">
      <c r="C50" s="75" t="s">
        <v>0</v>
      </c>
      <c r="D50" s="75" t="s">
        <v>0</v>
      </c>
      <c r="E50" s="75" t="s">
        <v>0</v>
      </c>
      <c r="F50" s="75" t="s">
        <v>0</v>
      </c>
      <c r="G50" s="75" t="s">
        <v>0</v>
      </c>
      <c r="H50" s="75" t="s">
        <v>0</v>
      </c>
      <c r="I50" s="75" t="s">
        <v>0</v>
      </c>
      <c r="J50" s="75" t="s">
        <v>0</v>
      </c>
      <c r="K50" s="75" t="s">
        <v>0</v>
      </c>
      <c r="L50" s="75" t="s">
        <v>0</v>
      </c>
      <c r="M50" s="75" t="s">
        <v>0</v>
      </c>
      <c r="N50" s="75" t="s">
        <v>0</v>
      </c>
    </row>
    <row r="51" spans="3:14">
      <c r="C51" s="75" t="s">
        <v>0</v>
      </c>
      <c r="D51" s="75" t="s">
        <v>0</v>
      </c>
      <c r="E51" s="75" t="s">
        <v>0</v>
      </c>
      <c r="F51" s="75" t="s">
        <v>0</v>
      </c>
      <c r="G51" s="75" t="s">
        <v>0</v>
      </c>
      <c r="H51" s="75" t="s">
        <v>0</v>
      </c>
      <c r="I51" s="75" t="s">
        <v>0</v>
      </c>
      <c r="J51" s="75" t="s">
        <v>0</v>
      </c>
      <c r="K51" s="75" t="s">
        <v>0</v>
      </c>
      <c r="L51" s="75" t="s">
        <v>0</v>
      </c>
      <c r="M51" s="75" t="s">
        <v>0</v>
      </c>
      <c r="N51" s="75" t="s">
        <v>0</v>
      </c>
    </row>
    <row r="52" spans="3:14">
      <c r="C52" s="75" t="s">
        <v>0</v>
      </c>
      <c r="D52" s="75" t="s">
        <v>0</v>
      </c>
      <c r="E52" s="75" t="s">
        <v>0</v>
      </c>
      <c r="F52" s="75" t="s">
        <v>0</v>
      </c>
      <c r="G52" s="75" t="s">
        <v>0</v>
      </c>
      <c r="H52" s="75" t="s">
        <v>0</v>
      </c>
      <c r="I52" s="75" t="s">
        <v>0</v>
      </c>
      <c r="J52" s="75" t="s">
        <v>0</v>
      </c>
      <c r="K52" s="75" t="s">
        <v>0</v>
      </c>
      <c r="L52" s="75" t="s">
        <v>0</v>
      </c>
      <c r="M52" s="75" t="s">
        <v>0</v>
      </c>
      <c r="N52" s="75" t="s">
        <v>0</v>
      </c>
    </row>
    <row r="90" spans="54:54">
      <c r="BB90" s="20" t="s">
        <v>0</v>
      </c>
    </row>
    <row r="112" spans="53:53">
      <c r="BA112" s="20" t="s">
        <v>0</v>
      </c>
    </row>
  </sheetData>
  <pageMargins left="0.7" right="0.7" top="0.75" bottom="0.75" header="0.3" footer="0.3"/>
  <pageSetup scale="1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71D3-8DFB-4970-8280-CD0FC141607A}">
  <dimension ref="A1:C8"/>
  <sheetViews>
    <sheetView workbookViewId="0"/>
  </sheetViews>
  <sheetFormatPr defaultRowHeight="15"/>
  <cols>
    <col min="1" max="1" width="46.7109375" bestFit="1" customWidth="1"/>
    <col min="2" max="2" width="21.5703125" customWidth="1"/>
    <col min="3" max="3" width="36.28515625" bestFit="1" customWidth="1"/>
  </cols>
  <sheetData>
    <row r="1" spans="1:3">
      <c r="A1" s="33" t="s">
        <v>31</v>
      </c>
      <c r="B1" s="33" t="s">
        <v>32</v>
      </c>
      <c r="C1" s="33" t="s">
        <v>33</v>
      </c>
    </row>
    <row r="2" spans="1:3">
      <c r="A2" t="s">
        <v>34</v>
      </c>
      <c r="B2" t="s">
        <v>2</v>
      </c>
      <c r="C2" t="s">
        <v>35</v>
      </c>
    </row>
    <row r="3" spans="1:3">
      <c r="A3" t="s">
        <v>36</v>
      </c>
      <c r="B3" t="s">
        <v>3</v>
      </c>
      <c r="C3" t="s">
        <v>35</v>
      </c>
    </row>
    <row r="4" spans="1:3">
      <c r="A4" t="s">
        <v>37</v>
      </c>
      <c r="B4" t="s">
        <v>38</v>
      </c>
      <c r="C4" t="s">
        <v>35</v>
      </c>
    </row>
    <row r="5" spans="1:3">
      <c r="A5" t="s">
        <v>39</v>
      </c>
      <c r="B5" t="s">
        <v>5</v>
      </c>
      <c r="C5" t="s">
        <v>35</v>
      </c>
    </row>
    <row r="6" spans="1:3">
      <c r="A6" t="s">
        <v>40</v>
      </c>
      <c r="B6" t="s">
        <v>5</v>
      </c>
      <c r="C6" t="s">
        <v>35</v>
      </c>
    </row>
    <row r="7" spans="1:3">
      <c r="A7" t="s">
        <v>41</v>
      </c>
      <c r="B7" t="s">
        <v>28</v>
      </c>
      <c r="C7" t="s">
        <v>42</v>
      </c>
    </row>
    <row r="8" spans="1:3">
      <c r="A8" t="s">
        <v>43</v>
      </c>
      <c r="B8" t="s">
        <v>29</v>
      </c>
      <c r="C8" t="s">
        <v>42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82436E77E5C847919F8E25187301CD" ma:contentTypeVersion="24" ma:contentTypeDescription="Create a new document." ma:contentTypeScope="" ma:versionID="71e5d32a3c2174a323273123ab3a5db4">
  <xsd:schema xmlns:xsd="http://www.w3.org/2001/XMLSchema" xmlns:xs="http://www.w3.org/2001/XMLSchema" xmlns:p="http://schemas.microsoft.com/office/2006/metadata/properties" xmlns:ns2="28375a83-e4e7-4dde-b821-59258c3d7488" xmlns:ns3="5e1628cc-a815-47df-b5ad-ee310ca8d5b1" xmlns:ns4="32f3a428-6f88-4a3b-a56e-a51f3802cd3a" targetNamespace="http://schemas.microsoft.com/office/2006/metadata/properties" ma:root="true" ma:fieldsID="788b77075dabd86f3e33d4850341b627" ns2:_="" ns3:_="" ns4:_="">
    <xsd:import namespace="28375a83-e4e7-4dde-b821-59258c3d7488"/>
    <xsd:import namespace="5e1628cc-a815-47df-b5ad-ee310ca8d5b1"/>
    <xsd:import namespace="32f3a428-6f88-4a3b-a56e-a51f3802cd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FilingStatus" minOccurs="0"/>
                <xsd:element ref="ns2:Category" minOccurs="0"/>
                <xsd:element ref="ns2:Priority" minOccurs="0"/>
                <xsd:element ref="ns2:Prueba" minOccurs="0"/>
                <xsd:element ref="ns2:Calenda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75a83-e4e7-4dde-b821-59258c3d74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9950e38-0095-4bd7-ac52-55c480c4bc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ilingStatus" ma:index="23" nillable="true" ma:displayName="Filing Status" ma:description="Filing Status" ma:format="Dropdown" ma:internalName="FilingStatus">
      <xsd:simpleType>
        <xsd:restriction base="dms:Choice">
          <xsd:enumeration value="Completed"/>
          <xsd:enumeration value="In Process"/>
          <xsd:enumeration value="Pending"/>
          <xsd:enumeration value="Internal File"/>
          <xsd:enumeration value="Cancelled"/>
          <xsd:enumeration value="Submitted for Review"/>
          <xsd:enumeration value="Paused"/>
          <xsd:enumeration value="External File"/>
          <xsd:enumeration value="Awaiting Approval"/>
          <xsd:enumeration value="Archive"/>
        </xsd:restriction>
      </xsd:simpleType>
    </xsd:element>
    <xsd:element name="Category" ma:index="24" nillable="true" ma:displayName="Category" ma:description="Category" ma:format="Dropdown" ma:internalName="Category">
      <xsd:simpleType>
        <xsd:restriction base="dms:Choice">
          <xsd:enumeration value="Federal Funding Quarterly Report"/>
          <xsd:enumeration value="Initial SOW"/>
          <xsd:enumeration value="FEMA Project Cost Approvals"/>
          <xsd:enumeration value="Construction Contracted Costs"/>
          <xsd:enumeration value="90-Day Update Plan"/>
          <xsd:enumeration value="Energized Projects"/>
          <xsd:enumeration value="Resolution and Order"/>
          <xsd:enumeration value="Motion"/>
          <xsd:enumeration value="RFI - Request for Information"/>
          <xsd:enumeration value="Other"/>
          <xsd:enumeration value="Proposals"/>
          <xsd:enumeration value="Internal Document"/>
        </xsd:restriction>
      </xsd:simpleType>
    </xsd:element>
    <xsd:element name="Priority" ma:index="25" nillable="true" ma:displayName="Priority" ma:default="None" ma:format="Dropdown" ma:internalName="Priority">
      <xsd:simpleType>
        <xsd:restriction base="dms:Choice">
          <xsd:enumeration value="High Priority"/>
          <xsd:enumeration value="Low Priority"/>
          <xsd:enumeration value="Medium Priority"/>
          <xsd:enumeration value="None"/>
        </xsd:restriction>
      </xsd:simpleType>
    </xsd:element>
    <xsd:element name="Prueba" ma:index="26" nillable="true" ma:displayName="Prueba" ma:format="Dropdown" ma:list="28375a83-e4e7-4dde-b821-59258c3d7488" ma:internalName="Prueba" ma:showField="_ColorTag">
      <xsd:simpleType>
        <xsd:restriction base="dms:Lookup"/>
      </xsd:simpleType>
    </xsd:element>
    <xsd:element name="Calendar" ma:index="27" nillable="true" ma:displayName="Templates" ma:format="Dropdown" ma:list="c234c20f-288c-49d2-9651-9fc96bfecf53" ma:internalName="Calendar" ma:showField="Title">
      <xsd:simpleType>
        <xsd:restriction base="dms:Lookup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1628cc-a815-47df-b5ad-ee310ca8d5b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3a428-6f88-4a3b-a56e-a51f3802cd3a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52a190-c5de-468a-a212-3b3cca4a9d49}" ma:internalName="TaxCatchAll" ma:showField="CatchAllData" ma:web="5e1628cc-a815-47df-b5ad-ee310ca8d5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lingStatus xmlns="28375a83-e4e7-4dde-b821-59258c3d7488" xsi:nil="true"/>
    <Priority xmlns="28375a83-e4e7-4dde-b821-59258c3d7488">None</Priority>
    <Calendar xmlns="28375a83-e4e7-4dde-b821-59258c3d7488" xsi:nil="true"/>
    <Category xmlns="28375a83-e4e7-4dde-b821-59258c3d7488" xsi:nil="true"/>
    <SharedWithUsers xmlns="5e1628cc-a815-47df-b5ad-ee310ca8d5b1">
      <UserInfo>
        <DisplayName>Daly Sánchez</DisplayName>
        <AccountId>28</AccountId>
        <AccountType/>
      </UserInfo>
    </SharedWithUsers>
    <lcf76f155ced4ddcb4097134ff3c332f xmlns="28375a83-e4e7-4dde-b821-59258c3d7488">
      <Terms xmlns="http://schemas.microsoft.com/office/infopath/2007/PartnerControls"/>
    </lcf76f155ced4ddcb4097134ff3c332f>
    <TaxCatchAll xmlns="32f3a428-6f88-4a3b-a56e-a51f3802cd3a" xsi:nil="true"/>
    <Prueba xmlns="28375a83-e4e7-4dde-b821-59258c3d7488" xsi:nil="true"/>
  </documentManagement>
</p:properties>
</file>

<file path=customXml/itemProps1.xml><?xml version="1.0" encoding="utf-8"?>
<ds:datastoreItem xmlns:ds="http://schemas.openxmlformats.org/officeDocument/2006/customXml" ds:itemID="{6BFBEB6B-3EE4-44B3-A556-DA9A86B19E03}"/>
</file>

<file path=customXml/itemProps2.xml><?xml version="1.0" encoding="utf-8"?>
<ds:datastoreItem xmlns:ds="http://schemas.openxmlformats.org/officeDocument/2006/customXml" ds:itemID="{776517E5-4369-4181-8630-CB1BE2AB9128}"/>
</file>

<file path=customXml/itemProps3.xml><?xml version="1.0" encoding="utf-8"?>
<ds:datastoreItem xmlns:ds="http://schemas.openxmlformats.org/officeDocument/2006/customXml" ds:itemID="{FBEF8D3D-EC5F-4F13-B87F-C0EB6FAA7E30}"/>
</file>

<file path=docMetadata/LabelInfo.xml><?xml version="1.0" encoding="utf-8"?>
<clbl:labelList xmlns:clbl="http://schemas.microsoft.com/office/2020/mipLabelMetadata">
  <clbl:label id="{78d53608-54ca-4a74-8beb-8a1399c1189c}" enabled="0" method="" siteId="{78d53608-54ca-4a74-8beb-8a1399c1189c}" removed="1"/>
  <clbl:label id="{b0a9b38e-5be3-4a10-8fdc-cef4306b5139}" enabled="0" method="" siteId="{b0a9b38e-5be3-4a10-8fdc-cef4306b513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Data-OpEx vs Budget Metric</vt:lpstr>
      <vt:lpstr>Raw Data-CapEx vs Budget Metric</vt:lpstr>
      <vt:lpstr>Raw Data-Overtime Metric</vt:lpstr>
      <vt:lpstr>Data 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2026-10-15T18:00:18Z</dcterms:created>
  <dcterms:modified xsi:type="dcterms:W3CDTF">2026-10-15T18:00:43Z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0x010100D882436E77E5C847919F8E25187301CD</vt:lpwstr>
  </property>
</Properties>
</file>